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31" windowWidth="12120" windowHeight="7770" activeTab="0"/>
  </bookViews>
  <sheets>
    <sheet name="WG Filter" sheetId="1" r:id="rId1"/>
    <sheet name="N Calc" sheetId="2" r:id="rId2"/>
    <sheet name="Sheet3" sheetId="3" r:id="rId3"/>
  </sheets>
  <definedNames>
    <definedName name="a">'WG Filter'!$I$28</definedName>
    <definedName name="alpajb">'WG Filter'!$C$76</definedName>
    <definedName name="BETA">'WG Filter'!$R$11</definedName>
    <definedName name="betajb">'WG Filter'!$C$77</definedName>
    <definedName name="BW">'WG Filter'!$I$4</definedName>
    <definedName name="d">'WG Filter'!$C$79</definedName>
    <definedName name="error">'WG Filter'!#REF!</definedName>
    <definedName name="fo">'WG Filter'!$N$28</definedName>
    <definedName name="FREJ">'N Calc'!$B$8</definedName>
    <definedName name="lowerfreq">'WG Filter'!$F$6</definedName>
    <definedName name="N">'WG Filter'!$M$7</definedName>
    <definedName name="phi">'WG Filter'!$C$71</definedName>
    <definedName name="Q">'WG Filter'!$C$4</definedName>
    <definedName name="REJ">'N Calc'!$B$5</definedName>
    <definedName name="RIP">'WG Filter'!$M$5</definedName>
    <definedName name="RL">'WG Filter'!$M$4</definedName>
    <definedName name="upperfreq">'WG Filter'!$F$4</definedName>
    <definedName name="w">'WG Filter'!$R$13</definedName>
    <definedName name="wg">'WG Filter'!$L$28</definedName>
    <definedName name="wg1">'WG Filter'!$J$28</definedName>
    <definedName name="wg2">'WG Filter'!$K$28</definedName>
    <definedName name="wo">'WG Filter'!$M$28</definedName>
  </definedNames>
  <calcPr fullCalcOnLoad="1"/>
</workbook>
</file>

<file path=xl/sharedStrings.xml><?xml version="1.0" encoding="utf-8"?>
<sst xmlns="http://schemas.openxmlformats.org/spreadsheetml/2006/main" count="98" uniqueCount="81">
  <si>
    <t>Suitability</t>
  </si>
  <si>
    <t>f0(GHz)</t>
  </si>
  <si>
    <t>WG</t>
  </si>
  <si>
    <t>Cut Off</t>
  </si>
  <si>
    <t xml:space="preserve"> Waveguide Range</t>
  </si>
  <si>
    <t>MHz</t>
  </si>
  <si>
    <t>BW</t>
  </si>
  <si>
    <t>RetLoss</t>
  </si>
  <si>
    <t>dB</t>
  </si>
  <si>
    <t>Ripple</t>
  </si>
  <si>
    <t>Q</t>
  </si>
  <si>
    <t>N</t>
  </si>
  <si>
    <t>g0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</si>
  <si>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</si>
  <si>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</si>
  <si>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</si>
  <si>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</si>
  <si>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</si>
  <si>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</si>
  <si>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</si>
  <si>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</si>
  <si>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</si>
  <si>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</si>
  <si>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</si>
  <si>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</si>
  <si>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</si>
  <si>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 xml:space="preserve">  CBWs (MHz)</t>
  </si>
  <si>
    <t>Loss(dB)</t>
  </si>
  <si>
    <t>KE1</t>
  </si>
  <si>
    <t>K12</t>
  </si>
  <si>
    <t>K23</t>
  </si>
  <si>
    <t>K34</t>
  </si>
  <si>
    <t>K56</t>
  </si>
  <si>
    <t>K67</t>
  </si>
  <si>
    <t>K78</t>
  </si>
  <si>
    <t>K89</t>
  </si>
  <si>
    <t>K910</t>
  </si>
  <si>
    <t>K1011</t>
  </si>
  <si>
    <t>K1112</t>
  </si>
  <si>
    <t>Peter Martin</t>
  </si>
  <si>
    <t>GHz</t>
  </si>
  <si>
    <t>FL(GHz)</t>
  </si>
  <si>
    <t>FU(GHz)</t>
  </si>
  <si>
    <t>Fc(GHz)</t>
  </si>
  <si>
    <t>Spacing</t>
  </si>
  <si>
    <t>Size</t>
  </si>
  <si>
    <t>Post Dia</t>
  </si>
  <si>
    <t xml:space="preserve"> May 2001</t>
  </si>
  <si>
    <t xml:space="preserve">   </t>
  </si>
  <si>
    <t>Upper Freq</t>
  </si>
  <si>
    <t>Lower Freq</t>
  </si>
  <si>
    <t>N Calc</t>
  </si>
  <si>
    <t>Rejection</t>
  </si>
  <si>
    <t xml:space="preserve">@ </t>
  </si>
  <si>
    <t>N&gt;</t>
  </si>
  <si>
    <t>Sections</t>
  </si>
  <si>
    <t>g1 to gn-1</t>
  </si>
  <si>
    <t>(Range 3-12)</t>
  </si>
  <si>
    <t>Xa</t>
  </si>
  <si>
    <t>Xb</t>
  </si>
  <si>
    <t>Phi</t>
  </si>
  <si>
    <t>Error</t>
  </si>
  <si>
    <t xml:space="preserve">K </t>
  </si>
  <si>
    <t>K</t>
  </si>
  <si>
    <t>K wanted</t>
  </si>
  <si>
    <t>Waveguide Bandpass Filter Design Program</t>
  </si>
  <si>
    <t>Inverter</t>
  </si>
  <si>
    <t>UD</t>
  </si>
  <si>
    <t>#</t>
  </si>
  <si>
    <t># (Br)</t>
  </si>
  <si>
    <t>Outer</t>
  </si>
  <si>
    <t>Width</t>
  </si>
  <si>
    <t>Height</t>
  </si>
  <si>
    <t>KE2</t>
  </si>
  <si>
    <t>Central Post</t>
  </si>
  <si>
    <t>Zero Thickness Iris (Central Aperture)</t>
  </si>
  <si>
    <t>wg1</t>
  </si>
  <si>
    <t>wg2</t>
  </si>
  <si>
    <t>wg</t>
  </si>
  <si>
    <t>wo</t>
  </si>
  <si>
    <t>a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</si>
</sst>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000"/>
    <numFmt numFmtId="180" formatCode="0.00000"/>
    <numFmt numFmtId="181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1" fillId="33" borderId="0" xfId="0" applyNumberFormat="1" applyFont="1" applyFill="1" applyBorder="1" applyAlignment="1" applyProtection="1">
      <alignment horizontal="center"/>
      <protection/>
    </xf>
    <xf numFmtId="2" fontId="5" fillId="33" borderId="0" xfId="0" applyNumberFormat="1" applyFont="1" applyFill="1" applyBorder="1" applyAlignment="1" applyProtection="1">
      <alignment horizontal="left"/>
      <protection/>
    </xf>
    <xf numFmtId="2" fontId="1" fillId="33" borderId="0" xfId="0" applyNumberFormat="1" applyFont="1" applyFill="1" applyBorder="1" applyAlignment="1" applyProtection="1">
      <alignment horizontal="left"/>
      <protection/>
    </xf>
    <xf numFmtId="180" fontId="0" fillId="33" borderId="0" xfId="0" applyNumberForma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 horizontal="center"/>
      <protection/>
    </xf>
    <xf numFmtId="2" fontId="0" fillId="33" borderId="14" xfId="0" applyNumberForma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2" fontId="1" fillId="33" borderId="0" xfId="0" applyNumberFormat="1" applyFont="1" applyFill="1" applyBorder="1" applyAlignment="1">
      <alignment horizontal="left"/>
    </xf>
    <xf numFmtId="1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14" xfId="0" applyNumberForma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178" fontId="0" fillId="33" borderId="13" xfId="0" applyNumberFormat="1" applyFill="1" applyBorder="1" applyAlignment="1">
      <alignment horizontal="center"/>
    </xf>
    <xf numFmtId="178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11" fontId="7" fillId="33" borderId="0" xfId="0" applyNumberFormat="1" applyFont="1" applyFill="1" applyBorder="1" applyAlignment="1">
      <alignment/>
    </xf>
    <xf numFmtId="11" fontId="7" fillId="33" borderId="14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 applyProtection="1">
      <alignment/>
      <protection/>
    </xf>
    <xf numFmtId="2" fontId="4" fillId="33" borderId="0" xfId="0" applyNumberFormat="1" applyFont="1" applyFill="1" applyBorder="1" applyAlignment="1" applyProtection="1">
      <alignment horizontal="center"/>
      <protection/>
    </xf>
    <xf numFmtId="1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34" borderId="17" xfId="0" applyFont="1" applyFill="1" applyBorder="1" applyAlignment="1" applyProtection="1">
      <alignment horizontal="center"/>
      <protection locked="0"/>
    </xf>
    <xf numFmtId="1" fontId="5" fillId="33" borderId="1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2" fontId="7" fillId="33" borderId="13" xfId="0" applyNumberFormat="1" applyFont="1" applyFill="1" applyBorder="1" applyAlignment="1" applyProtection="1">
      <alignment horizontal="center"/>
      <protection/>
    </xf>
    <xf numFmtId="2" fontId="7" fillId="33" borderId="0" xfId="0" applyNumberFormat="1" applyFont="1" applyFill="1" applyBorder="1" applyAlignment="1" applyProtection="1">
      <alignment horizontal="center"/>
      <protection/>
    </xf>
    <xf numFmtId="2" fontId="5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2" fontId="5" fillId="33" borderId="13" xfId="0" applyNumberFormat="1" applyFont="1" applyFill="1" applyBorder="1" applyAlignment="1" applyProtection="1">
      <alignment horizontal="center"/>
      <protection/>
    </xf>
    <xf numFmtId="2" fontId="5" fillId="33" borderId="0" xfId="0" applyNumberFormat="1" applyFont="1" applyFill="1" applyBorder="1" applyAlignment="1" applyProtection="1">
      <alignment horizontal="center"/>
      <protection/>
    </xf>
    <xf numFmtId="2" fontId="5" fillId="33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2" fontId="7" fillId="33" borderId="14" xfId="0" applyNumberFormat="1" applyFont="1" applyFill="1" applyBorder="1" applyAlignment="1" applyProtection="1">
      <alignment horizontal="center"/>
      <protection/>
    </xf>
    <xf numFmtId="1" fontId="7" fillId="33" borderId="13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centerContinuous"/>
      <protection/>
    </xf>
    <xf numFmtId="179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33" borderId="14" xfId="0" applyNumberFormat="1" applyFont="1" applyFill="1" applyBorder="1" applyAlignment="1">
      <alignment horizontal="center"/>
    </xf>
    <xf numFmtId="181" fontId="5" fillId="33" borderId="0" xfId="0" applyNumberFormat="1" applyFont="1" applyFill="1" applyBorder="1" applyAlignment="1">
      <alignment horizontal="center"/>
    </xf>
    <xf numFmtId="181" fontId="5" fillId="33" borderId="14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 applyProtection="1">
      <alignment horizontal="center"/>
      <protection/>
    </xf>
    <xf numFmtId="181" fontId="5" fillId="0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 applyProtection="1">
      <alignment horizontal="left"/>
      <protection/>
    </xf>
    <xf numFmtId="1" fontId="5" fillId="0" borderId="0" xfId="0" applyNumberFormat="1" applyFont="1" applyFill="1" applyBorder="1" applyAlignment="1">
      <alignment horizontal="left"/>
    </xf>
    <xf numFmtId="2" fontId="7" fillId="33" borderId="13" xfId="0" applyNumberFormat="1" applyFont="1" applyFill="1" applyBorder="1" applyAlignment="1">
      <alignment horizontal="left"/>
    </xf>
    <xf numFmtId="2" fontId="7" fillId="33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2" fontId="7" fillId="33" borderId="13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2" fontId="7" fillId="33" borderId="14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5" fillId="33" borderId="14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1" fontId="3" fillId="34" borderId="17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>
      <alignment horizontal="center"/>
    </xf>
    <xf numFmtId="0" fontId="1" fillId="34" borderId="17" xfId="0" applyFont="1" applyFill="1" applyBorder="1" applyAlignment="1" applyProtection="1">
      <alignment horizontal="center"/>
      <protection locked="0"/>
    </xf>
    <xf numFmtId="178" fontId="9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179" fontId="7" fillId="33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8" fontId="1" fillId="33" borderId="19" xfId="0" applyNumberFormat="1" applyFont="1" applyFill="1" applyBorder="1" applyAlignment="1">
      <alignment horizontal="center"/>
    </xf>
    <xf numFmtId="178" fontId="0" fillId="33" borderId="20" xfId="0" applyNumberFormat="1" applyFill="1" applyBorder="1" applyAlignment="1">
      <alignment horizontal="center"/>
    </xf>
    <xf numFmtId="178" fontId="1" fillId="33" borderId="20" xfId="0" applyNumberFormat="1" applyFont="1" applyFill="1" applyBorder="1" applyAlignment="1">
      <alignment horizontal="center"/>
    </xf>
    <xf numFmtId="181" fontId="1" fillId="33" borderId="20" xfId="0" applyNumberFormat="1" applyFont="1" applyFill="1" applyBorder="1" applyAlignment="1">
      <alignment horizontal="center"/>
    </xf>
    <xf numFmtId="178" fontId="1" fillId="33" borderId="21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2" fontId="5" fillId="33" borderId="14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right"/>
    </xf>
    <xf numFmtId="2" fontId="7" fillId="33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31</xdr:row>
      <xdr:rowOff>57150</xdr:rowOff>
    </xdr:from>
    <xdr:to>
      <xdr:col>17</xdr:col>
      <xdr:colOff>323850</xdr:colOff>
      <xdr:row>31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108775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31</xdr:row>
      <xdr:rowOff>57150</xdr:rowOff>
    </xdr:from>
    <xdr:to>
      <xdr:col>17</xdr:col>
      <xdr:colOff>276225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877550" y="519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31</xdr:row>
      <xdr:rowOff>123825</xdr:rowOff>
    </xdr:from>
    <xdr:to>
      <xdr:col>17</xdr:col>
      <xdr:colOff>276225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10877550" y="52578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32</xdr:row>
      <xdr:rowOff>28575</xdr:rowOff>
    </xdr:from>
    <xdr:to>
      <xdr:col>17</xdr:col>
      <xdr:colOff>323850</xdr:colOff>
      <xdr:row>32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1087755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31</xdr:row>
      <xdr:rowOff>57150</xdr:rowOff>
    </xdr:from>
    <xdr:to>
      <xdr:col>17</xdr:col>
      <xdr:colOff>323850</xdr:colOff>
      <xdr:row>31</xdr:row>
      <xdr:rowOff>76200</xdr:rowOff>
    </xdr:to>
    <xdr:sp>
      <xdr:nvSpPr>
        <xdr:cNvPr id="5" name="Line 5"/>
        <xdr:cNvSpPr>
          <a:spLocks/>
        </xdr:cNvSpPr>
      </xdr:nvSpPr>
      <xdr:spPr>
        <a:xfrm>
          <a:off x="10877550" y="5191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32</xdr:row>
      <xdr:rowOff>9525</xdr:rowOff>
    </xdr:from>
    <xdr:to>
      <xdr:col>17</xdr:col>
      <xdr:colOff>323850</xdr:colOff>
      <xdr:row>32</xdr:row>
      <xdr:rowOff>28575</xdr:rowOff>
    </xdr:to>
    <xdr:sp>
      <xdr:nvSpPr>
        <xdr:cNvPr id="6" name="Line 6"/>
        <xdr:cNvSpPr>
          <a:spLocks/>
        </xdr:cNvSpPr>
      </xdr:nvSpPr>
      <xdr:spPr>
        <a:xfrm flipV="1">
          <a:off x="10877550" y="5305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U98"/>
  <sheetViews>
    <sheetView tabSelected="1" zoomScale="75" zoomScaleNormal="75" zoomScalePageLayoutView="0" workbookViewId="0" topLeftCell="A47">
      <selection activeCell="C65" sqref="C65:O65"/>
    </sheetView>
  </sheetViews>
  <sheetFormatPr defaultColWidth="11.8515625" defaultRowHeight="12.75"/>
  <cols>
    <col min="1" max="1" width="5.421875" style="1" customWidth="1"/>
    <col min="2" max="2" width="10.28125" style="2" customWidth="1"/>
    <col min="3" max="3" width="10.28125" style="8" customWidth="1"/>
    <col min="4" max="8" width="11.421875" style="2" customWidth="1"/>
    <col min="9" max="12" width="10.421875" style="2" customWidth="1"/>
    <col min="13" max="14" width="11.8515625" style="2" customWidth="1"/>
    <col min="15" max="15" width="11.00390625" style="2" customWidth="1"/>
    <col min="16" max="16" width="3.57421875" style="2" customWidth="1"/>
    <col min="17" max="44" width="11.8515625" style="2" hidden="1" customWidth="1"/>
    <col min="45" max="16384" width="11.8515625" style="2" customWidth="1"/>
  </cols>
  <sheetData>
    <row r="1" spans="1:16" ht="13.5" thickTop="1">
      <c r="A1" s="9"/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2"/>
    </row>
    <row r="2" spans="1:16" ht="20.25">
      <c r="A2" s="13"/>
      <c r="B2" s="14" t="s">
        <v>65</v>
      </c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ht="12.75">
      <c r="A3" s="13"/>
      <c r="B3" s="16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1:16" ht="12.75">
      <c r="A4" s="13"/>
      <c r="B4" s="18" t="s">
        <v>10</v>
      </c>
      <c r="C4" s="52">
        <v>500</v>
      </c>
      <c r="D4" s="16"/>
      <c r="E4" s="18" t="s">
        <v>49</v>
      </c>
      <c r="F4" s="52">
        <v>4.5</v>
      </c>
      <c r="G4" s="18" t="s">
        <v>40</v>
      </c>
      <c r="H4" s="18" t="s">
        <v>6</v>
      </c>
      <c r="I4" s="24">
        <f>(upperfreq-lowerfreq)*1000</f>
        <v>400.00000000000034</v>
      </c>
      <c r="J4" s="18" t="s">
        <v>5</v>
      </c>
      <c r="K4" s="16"/>
      <c r="L4" s="19" t="s">
        <v>7</v>
      </c>
      <c r="M4" s="52">
        <v>25</v>
      </c>
      <c r="N4" s="19" t="s">
        <v>8</v>
      </c>
      <c r="O4" s="16"/>
      <c r="P4" s="17"/>
    </row>
    <row r="5" spans="1:16" ht="12.75">
      <c r="A5" s="13"/>
      <c r="B5" s="16"/>
      <c r="C5" s="15"/>
      <c r="D5" s="16"/>
      <c r="E5" s="16"/>
      <c r="F5" s="16"/>
      <c r="G5" s="16"/>
      <c r="H5" s="16"/>
      <c r="I5" s="16"/>
      <c r="J5" s="16"/>
      <c r="K5" s="16"/>
      <c r="L5" s="20" t="s">
        <v>9</v>
      </c>
      <c r="M5" s="21">
        <f>-10*LOG(1-10^(-RL/10))</f>
        <v>0.013755357992172791</v>
      </c>
      <c r="N5" s="19" t="s">
        <v>8</v>
      </c>
      <c r="O5" s="16"/>
      <c r="P5" s="17"/>
    </row>
    <row r="6" spans="1:16" ht="12.75">
      <c r="A6" s="13"/>
      <c r="B6" s="16"/>
      <c r="C6" s="15"/>
      <c r="D6" s="16"/>
      <c r="E6" s="18" t="s">
        <v>50</v>
      </c>
      <c r="F6" s="52">
        <v>4.1</v>
      </c>
      <c r="G6" s="18" t="s">
        <v>40</v>
      </c>
      <c r="H6" s="18"/>
      <c r="I6" s="16"/>
      <c r="J6" s="16"/>
      <c r="K6" s="16"/>
      <c r="L6" s="16"/>
      <c r="M6" s="16"/>
      <c r="N6" s="16"/>
      <c r="O6" s="16"/>
      <c r="P6" s="17"/>
    </row>
    <row r="7" spans="1:16" ht="12.75">
      <c r="A7" s="13"/>
      <c r="B7" s="16"/>
      <c r="C7" s="15"/>
      <c r="D7" s="16"/>
      <c r="E7" s="16"/>
      <c r="F7" s="16"/>
      <c r="G7" s="16"/>
      <c r="H7" s="22"/>
      <c r="I7" s="16"/>
      <c r="J7" s="16"/>
      <c r="K7" s="16"/>
      <c r="L7" s="25" t="s">
        <v>11</v>
      </c>
      <c r="M7" s="110">
        <v>12</v>
      </c>
      <c r="N7" s="109" t="s">
        <v>57</v>
      </c>
      <c r="O7" s="16"/>
      <c r="P7" s="17"/>
    </row>
    <row r="8" spans="1:46" ht="12.75">
      <c r="A8" s="26" t="s">
        <v>2</v>
      </c>
      <c r="B8" s="54" t="s">
        <v>70</v>
      </c>
      <c r="C8" s="54" t="s">
        <v>70</v>
      </c>
      <c r="D8" s="25" t="s">
        <v>4</v>
      </c>
      <c r="E8" s="16"/>
      <c r="F8" s="27" t="s">
        <v>3</v>
      </c>
      <c r="G8" s="16"/>
      <c r="H8" s="27" t="s">
        <v>2</v>
      </c>
      <c r="I8" s="16"/>
      <c r="J8" s="16"/>
      <c r="K8" s="16"/>
      <c r="L8" s="16"/>
      <c r="M8" s="16">
        <f>IF(OR(N&gt;12,N&lt;3),"Must be an integer between 3 and 12!!","")</f>
      </c>
      <c r="N8" s="16"/>
      <c r="O8" s="16"/>
      <c r="P8" s="17"/>
      <c r="AT8" s="116"/>
    </row>
    <row r="9" spans="1:16" ht="12.75">
      <c r="A9" s="56" t="s">
        <v>69</v>
      </c>
      <c r="B9" s="27" t="s">
        <v>71</v>
      </c>
      <c r="C9" s="27" t="s">
        <v>72</v>
      </c>
      <c r="D9" s="54" t="s">
        <v>41</v>
      </c>
      <c r="E9" s="54" t="s">
        <v>42</v>
      </c>
      <c r="F9" s="54" t="s">
        <v>43</v>
      </c>
      <c r="G9" s="34" t="s">
        <v>0</v>
      </c>
      <c r="H9" s="33" t="s">
        <v>68</v>
      </c>
      <c r="I9" s="54" t="s">
        <v>80</v>
      </c>
      <c r="J9" s="54" t="s">
        <v>76</v>
      </c>
      <c r="K9" s="54" t="s">
        <v>77</v>
      </c>
      <c r="L9" s="54" t="s">
        <v>78</v>
      </c>
      <c r="M9" s="54" t="s">
        <v>79</v>
      </c>
      <c r="N9" s="54" t="s">
        <v>1</v>
      </c>
      <c r="O9" s="22"/>
      <c r="P9" s="23"/>
    </row>
    <row r="10" spans="1:16" s="55" customFormat="1" ht="12.75">
      <c r="A10" s="13"/>
      <c r="B10" s="16"/>
      <c r="C10" s="16"/>
      <c r="D10" s="16"/>
      <c r="E10" s="16"/>
      <c r="F10" s="16"/>
      <c r="G10" s="16"/>
      <c r="H10" s="52">
        <v>11</v>
      </c>
      <c r="I10" s="16"/>
      <c r="J10" s="16"/>
      <c r="K10" s="16"/>
      <c r="L10" s="16"/>
      <c r="M10" s="16"/>
      <c r="N10" s="16"/>
      <c r="O10" s="22"/>
      <c r="P10" s="23"/>
    </row>
    <row r="11" spans="1:18" ht="12.75">
      <c r="A11" s="1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R11" s="2">
        <f>-LN(TANH(RIP/17.3718))</f>
        <v>7.14117526943462</v>
      </c>
    </row>
    <row r="12" spans="1:16" ht="12.75">
      <c r="A12" s="26" t="s">
        <v>67</v>
      </c>
      <c r="B12" s="113" t="s">
        <v>67</v>
      </c>
      <c r="C12" s="113" t="s">
        <v>67</v>
      </c>
      <c r="D12" s="27">
        <f>1.25*F12</f>
        <v>3.94125</v>
      </c>
      <c r="E12" s="27">
        <f>1.9*F12</f>
        <v>5.9906999999999995</v>
      </c>
      <c r="F12" s="52">
        <v>3.153</v>
      </c>
      <c r="G12" s="30" t="str">
        <f aca="true" t="shared" si="0" ref="G12:G27">IF(AND(AND(D12&lt;=lowerfreq,E12&gt;=upperfreq),upperfreq&gt;lowerfreq),"Yes","")</f>
        <v>Yes</v>
      </c>
      <c r="H12" s="112">
        <f>IF($H$10=A12,"yes","")</f>
      </c>
      <c r="I12" s="28">
        <f>IF(AND(H12="yes",G12="yes"),150/F12,"")</f>
      </c>
      <c r="J12" s="28">
        <f aca="true" t="shared" si="1" ref="J12:J18">IF(AND(H12="yes",G12="yes"),300/SQRT(lowerfreq*lowerfreq-F12*F12),"")</f>
      </c>
      <c r="K12" s="28">
        <f>IF(AND(H12="yes",G12="yes"),300/SQRT(upperfreq*upperfreq-F12*F12),"")</f>
      </c>
      <c r="L12" s="28">
        <f>IF(AND(H12="yes",G12="yes"),(J12+K12)/2,"")</f>
      </c>
      <c r="M12" s="28">
        <f>IF(AND(H12="yes",G12="yes"),1/SQRT(1/L12/L12+1/4/I12/I12),"")</f>
      </c>
      <c r="N12" s="28">
        <f aca="true" t="shared" si="2" ref="N12:N27">IF(AND(H12="yes",G12="yes"),300/M12,"")</f>
      </c>
      <c r="O12" s="33"/>
      <c r="P12" s="40"/>
    </row>
    <row r="13" spans="1:47" s="7" customFormat="1" ht="13.5" customHeight="1">
      <c r="A13" s="26">
        <v>10</v>
      </c>
      <c r="B13" s="30">
        <v>76.2</v>
      </c>
      <c r="C13" s="30">
        <v>38.1</v>
      </c>
      <c r="D13" s="27">
        <f aca="true" t="shared" si="3" ref="D13:D27">1.25*F13</f>
        <v>2.5974999999999997</v>
      </c>
      <c r="E13" s="27">
        <f aca="true" t="shared" si="4" ref="E13:E27">1.9*F13</f>
        <v>3.9481999999999995</v>
      </c>
      <c r="F13" s="30">
        <v>2.078</v>
      </c>
      <c r="G13" s="30">
        <f t="shared" si="0"/>
      </c>
      <c r="H13" s="112">
        <f aca="true" t="shared" si="5" ref="H13:H27">IF($H$10=A13,"yes","")</f>
      </c>
      <c r="I13" s="28">
        <f>IF(AND(H13="yes",G13="yes"),150/F13,"")</f>
      </c>
      <c r="J13" s="28">
        <f t="shared" si="1"/>
      </c>
      <c r="K13" s="28">
        <f>IF(AND(H13="yes",G13="yes"),300/SQRT(upperfreq*upperfreq-F13*F13),"")</f>
      </c>
      <c r="L13" s="28">
        <f aca="true" t="shared" si="6" ref="L13:L19">IF(AND(H13="yes",G13="yes"),(J13+K13)/2,"")</f>
      </c>
      <c r="M13" s="28">
        <f>IF(AND(H13="yes",G13="yes"),1/SQRT(1/L13/L13+1/4/I13/I13),"")</f>
      </c>
      <c r="N13" s="28">
        <f>IF(AND(H13="yes",G13="yes"),300/M13,"")</f>
      </c>
      <c r="O13" s="16"/>
      <c r="P13" s="17"/>
      <c r="R13" s="6">
        <f>300/SQRT('N Calc'!B8*'N Calc'!B8-F13*F13)</f>
        <v>87.7736614485095</v>
      </c>
      <c r="AS13" s="2"/>
      <c r="AU13" s="2"/>
    </row>
    <row r="14" spans="1:16" ht="12.75">
      <c r="A14" s="26">
        <v>11</v>
      </c>
      <c r="B14" s="30">
        <v>61.467999999999996</v>
      </c>
      <c r="C14" s="30">
        <v>32.257999999999996</v>
      </c>
      <c r="D14" s="27">
        <f t="shared" si="3"/>
        <v>3.2224999999999997</v>
      </c>
      <c r="E14" s="27">
        <f t="shared" si="4"/>
        <v>4.898199999999999</v>
      </c>
      <c r="F14" s="30">
        <v>2.578</v>
      </c>
      <c r="G14" s="30" t="str">
        <f t="shared" si="0"/>
        <v>Yes</v>
      </c>
      <c r="H14" s="112" t="str">
        <f t="shared" si="5"/>
        <v>yes</v>
      </c>
      <c r="I14" s="28">
        <f aca="true" t="shared" si="7" ref="I14:I27">IF(AND(H14="yes",G14="yes"),150/F14,"")</f>
        <v>58.18463925523662</v>
      </c>
      <c r="J14" s="28">
        <f t="shared" si="1"/>
        <v>94.10023784599156</v>
      </c>
      <c r="K14" s="28">
        <f aca="true" t="shared" si="8" ref="K14:K27">IF(AND(H14="yes",G14="yes"),300/SQRT(upperfreq*upperfreq-F14*F14),"")</f>
        <v>81.3372123585258</v>
      </c>
      <c r="L14" s="28">
        <f t="shared" si="6"/>
        <v>87.71872510225867</v>
      </c>
      <c r="M14" s="28">
        <f aca="true" t="shared" si="9" ref="M14:M27">IF(AND(H14="yes",G14="yes"),1/SQRT(1/L14/L14+1/4/I14/I14),"")</f>
        <v>70.04713401757606</v>
      </c>
      <c r="N14" s="28">
        <f t="shared" si="2"/>
        <v>4.282830471332699</v>
      </c>
      <c r="O14" s="16"/>
      <c r="P14" s="17"/>
    </row>
    <row r="15" spans="1:16" ht="12.75">
      <c r="A15" s="26">
        <v>12</v>
      </c>
      <c r="B15" s="30">
        <v>50.8</v>
      </c>
      <c r="C15" s="30">
        <v>25.4</v>
      </c>
      <c r="D15" s="27">
        <f t="shared" si="3"/>
        <v>3.94125</v>
      </c>
      <c r="E15" s="27">
        <f t="shared" si="4"/>
        <v>5.9906999999999995</v>
      </c>
      <c r="F15" s="30">
        <v>3.153</v>
      </c>
      <c r="G15" s="30" t="str">
        <f t="shared" si="0"/>
        <v>Yes</v>
      </c>
      <c r="H15" s="112">
        <f t="shared" si="5"/>
      </c>
      <c r="I15" s="28">
        <f t="shared" si="7"/>
      </c>
      <c r="J15" s="28">
        <f t="shared" si="1"/>
      </c>
      <c r="K15" s="28">
        <f t="shared" si="8"/>
      </c>
      <c r="L15" s="28">
        <f t="shared" si="6"/>
      </c>
      <c r="M15" s="28">
        <f t="shared" si="9"/>
      </c>
      <c r="N15" s="28">
        <f t="shared" si="2"/>
      </c>
      <c r="O15" s="16"/>
      <c r="P15" s="17"/>
    </row>
    <row r="16" spans="1:47" s="3" customFormat="1" ht="12.75">
      <c r="A16" s="26">
        <v>13</v>
      </c>
      <c r="B16" s="30">
        <v>43.687999999999995</v>
      </c>
      <c r="C16" s="30">
        <v>23.368</v>
      </c>
      <c r="D16" s="27">
        <f t="shared" si="3"/>
        <v>4.64125</v>
      </c>
      <c r="E16" s="27">
        <f t="shared" si="4"/>
        <v>7.0546999999999995</v>
      </c>
      <c r="F16" s="30">
        <v>3.713</v>
      </c>
      <c r="G16" s="30">
        <f t="shared" si="0"/>
      </c>
      <c r="H16" s="112">
        <f t="shared" si="5"/>
      </c>
      <c r="I16" s="28">
        <f t="shared" si="7"/>
      </c>
      <c r="J16" s="28">
        <f t="shared" si="1"/>
      </c>
      <c r="K16" s="28">
        <f t="shared" si="8"/>
      </c>
      <c r="L16" s="28">
        <f t="shared" si="6"/>
      </c>
      <c r="M16" s="28">
        <f t="shared" si="9"/>
      </c>
      <c r="N16" s="28">
        <f t="shared" si="2"/>
      </c>
      <c r="O16" s="28"/>
      <c r="P16" s="29"/>
      <c r="AS16" s="2"/>
      <c r="AU16" s="2"/>
    </row>
    <row r="17" spans="1:47" s="3" customFormat="1" ht="12.75">
      <c r="A17" s="26">
        <v>14</v>
      </c>
      <c r="B17" s="30">
        <v>38.1</v>
      </c>
      <c r="C17" s="30">
        <v>19.05</v>
      </c>
      <c r="D17" s="27">
        <f t="shared" si="3"/>
        <v>5.380000000000001</v>
      </c>
      <c r="E17" s="27">
        <f t="shared" si="4"/>
        <v>8.1776</v>
      </c>
      <c r="F17" s="30">
        <v>4.304</v>
      </c>
      <c r="G17" s="30">
        <f t="shared" si="0"/>
      </c>
      <c r="H17" s="112">
        <f t="shared" si="5"/>
      </c>
      <c r="I17" s="28">
        <f>IF(AND(H17="yes",G17="yes"),150/F17,"")</f>
      </c>
      <c r="J17" s="28">
        <f t="shared" si="1"/>
      </c>
      <c r="K17" s="28">
        <f>IF(AND(H17="yes",G17="yes"),300/SQRT(upperfreq*upperfreq-F17*F17),"")</f>
      </c>
      <c r="L17" s="28">
        <f>IF(AND(H17="yes",G17="yes"),(J17+K17)/2,"")</f>
      </c>
      <c r="M17" s="28">
        <f>IF(AND(H17="yes",G17="yes"),1/SQRT(1/L17/L17+1/4/I17/I17),"")</f>
      </c>
      <c r="N17" s="28">
        <f>IF(AND(H17="yes",G17="yes"),300/M17,"")</f>
      </c>
      <c r="O17" s="28"/>
      <c r="P17" s="29"/>
      <c r="AS17" s="2"/>
      <c r="AU17" s="2"/>
    </row>
    <row r="18" spans="1:47" s="3" customFormat="1" ht="12.75">
      <c r="A18" s="26">
        <v>15</v>
      </c>
      <c r="B18" s="30">
        <v>31.75</v>
      </c>
      <c r="C18" s="30">
        <v>16.002</v>
      </c>
      <c r="D18" s="27">
        <f t="shared" si="3"/>
        <v>6.5825</v>
      </c>
      <c r="E18" s="27">
        <f t="shared" si="4"/>
        <v>10.0054</v>
      </c>
      <c r="F18" s="30">
        <v>5.266</v>
      </c>
      <c r="G18" s="30">
        <f t="shared" si="0"/>
      </c>
      <c r="H18" s="112">
        <f t="shared" si="5"/>
      </c>
      <c r="I18" s="30">
        <f>IF(AND(H18="yes",G18="yes"),150/F18,"")</f>
      </c>
      <c r="J18" s="28">
        <f t="shared" si="1"/>
      </c>
      <c r="K18" s="28">
        <f>IF(AND(H18="yes",G18="yes"),300/SQRT(upperfreq*upperfreq-F18*F18),"")</f>
      </c>
      <c r="L18" s="28">
        <f>IF(AND(H18="yes",G18="yes"),(J18+K18)/2,"")</f>
      </c>
      <c r="M18" s="28">
        <f>IF(AND(H18="yes",G18="yes"),1/SQRT(1/L18/L18+1/4/I18/I18),"")</f>
      </c>
      <c r="N18" s="28">
        <f>IF(AND(H18="yes",G18="yes"),300/M18,"")</f>
      </c>
      <c r="O18" s="28"/>
      <c r="P18" s="29"/>
      <c r="AS18" s="2"/>
      <c r="AU18" s="2"/>
    </row>
    <row r="19" spans="1:47" s="3" customFormat="1" ht="12.75">
      <c r="A19" s="26">
        <v>16</v>
      </c>
      <c r="B19" s="30">
        <v>25.4</v>
      </c>
      <c r="C19" s="30">
        <v>12.7</v>
      </c>
      <c r="D19" s="27">
        <f t="shared" si="3"/>
        <v>8.21375</v>
      </c>
      <c r="E19" s="27">
        <f t="shared" si="4"/>
        <v>12.4849</v>
      </c>
      <c r="F19" s="30">
        <v>6.571</v>
      </c>
      <c r="G19" s="30">
        <f t="shared" si="0"/>
      </c>
      <c r="H19" s="112">
        <f t="shared" si="5"/>
      </c>
      <c r="I19" s="30">
        <f>IF(AND(H19="yes",G19="yes"),150/F19,"")</f>
      </c>
      <c r="J19" s="30">
        <f>IF(AND(OR(H19="yes",H19="y"),G19="yes"),300/SQRT(lowerfreq*lowerfreq-F19*F19),"")</f>
      </c>
      <c r="K19" s="30">
        <f>IF(AND(H19="yes",G19="yes"),300/SQRT(upperfreq*upperfreq-F19*F19),"")</f>
      </c>
      <c r="L19" s="30">
        <f t="shared" si="6"/>
      </c>
      <c r="M19" s="30">
        <f>IF(AND(H19="yes",G19="yes"),1/SQRT(1/L19/L19+1/4/I19/I19),"")</f>
      </c>
      <c r="N19" s="30">
        <f>IF(AND(H19="yes",G19="yes"),300/M19,"")</f>
      </c>
      <c r="O19" s="28"/>
      <c r="P19" s="29"/>
      <c r="AS19" s="2"/>
      <c r="AU19" s="2"/>
    </row>
    <row r="20" spans="1:47" s="3" customFormat="1" ht="12.75">
      <c r="A20" s="26">
        <v>17</v>
      </c>
      <c r="B20" s="30">
        <v>21.59</v>
      </c>
      <c r="C20" s="30">
        <v>12.191999999999998</v>
      </c>
      <c r="D20" s="27">
        <f t="shared" si="3"/>
        <v>9.862499999999999</v>
      </c>
      <c r="E20" s="27">
        <f t="shared" si="4"/>
        <v>14.990999999999998</v>
      </c>
      <c r="F20" s="30">
        <v>7.89</v>
      </c>
      <c r="G20" s="30">
        <f t="shared" si="0"/>
      </c>
      <c r="H20" s="112">
        <f t="shared" si="5"/>
      </c>
      <c r="I20" s="28">
        <f>IF(AND(H20="yes",G20="yes"),150/F20,"")</f>
      </c>
      <c r="J20" s="28">
        <f>IF(AND(OR(H20="yes",H20="y"),G20="yes"),300/SQRT(lowerfreq*lowerfreq-F20*F20),"")</f>
      </c>
      <c r="K20" s="28">
        <f>IF(AND(H20="yes",G20="yes"),300/SQRT(upperfreq*upperfreq-F20*F20),"")</f>
      </c>
      <c r="L20" s="28">
        <f>IF(AND(H20="yes",G20="yes"),(M4+K20)/2,"")</f>
      </c>
      <c r="M20" s="28">
        <f>IF(AND(H20="yes",G20="yes"),1/SQRT(1/L20/L20+1/4/I20/I20),"")</f>
      </c>
      <c r="N20" s="28">
        <f>IF(AND(H20="yes",G20="yes"),300/M20,"")</f>
      </c>
      <c r="O20" s="28"/>
      <c r="P20" s="29"/>
      <c r="AS20" s="2"/>
      <c r="AU20" s="2"/>
    </row>
    <row r="21" spans="1:47" s="3" customFormat="1" ht="12.75">
      <c r="A21" s="26">
        <v>18</v>
      </c>
      <c r="B21" s="30">
        <v>17.78</v>
      </c>
      <c r="C21" s="30">
        <v>9.906</v>
      </c>
      <c r="D21" s="27">
        <f t="shared" si="3"/>
        <v>11.868749999999999</v>
      </c>
      <c r="E21" s="27">
        <f t="shared" si="4"/>
        <v>18.040499999999998</v>
      </c>
      <c r="F21" s="30">
        <v>9.495</v>
      </c>
      <c r="G21" s="30">
        <f t="shared" si="0"/>
      </c>
      <c r="H21" s="112">
        <f t="shared" si="5"/>
      </c>
      <c r="I21" s="28">
        <f t="shared" si="7"/>
      </c>
      <c r="J21" s="28"/>
      <c r="K21" s="28">
        <f t="shared" si="8"/>
      </c>
      <c r="L21" s="28">
        <f>IF(AND(H21="yes",G21="yes"),(M5+K21)/2,"")</f>
      </c>
      <c r="M21" s="28">
        <f t="shared" si="9"/>
      </c>
      <c r="N21" s="28">
        <f t="shared" si="2"/>
      </c>
      <c r="O21" s="28"/>
      <c r="P21" s="29"/>
      <c r="AS21" s="2"/>
      <c r="AU21" s="2"/>
    </row>
    <row r="22" spans="1:47" s="3" customFormat="1" ht="12.75">
      <c r="A22" s="26">
        <v>19</v>
      </c>
      <c r="B22" s="30">
        <v>14.985999999999999</v>
      </c>
      <c r="C22" s="30">
        <v>8.636000000000001</v>
      </c>
      <c r="D22" s="27">
        <f t="shared" si="3"/>
        <v>14.48375</v>
      </c>
      <c r="E22" s="27">
        <f t="shared" si="4"/>
        <v>22.0153</v>
      </c>
      <c r="F22" s="30">
        <v>11.587</v>
      </c>
      <c r="G22" s="30">
        <f t="shared" si="0"/>
      </c>
      <c r="H22" s="112">
        <f t="shared" si="5"/>
      </c>
      <c r="I22" s="28">
        <f t="shared" si="7"/>
      </c>
      <c r="J22" s="28">
        <f aca="true" t="shared" si="10" ref="J22:J27">IF(AND(H22="yes",G22="yes"),300/SQRT(lowerfreq*lowerfreq-F22*F22),"")</f>
      </c>
      <c r="K22" s="28">
        <f t="shared" si="8"/>
      </c>
      <c r="L22" s="28">
        <f aca="true" t="shared" si="11" ref="L22:L27">IF(AND(H22="yes",G22="yes"),(J22+K22)/2,"")</f>
      </c>
      <c r="M22" s="28">
        <f t="shared" si="9"/>
      </c>
      <c r="N22" s="28">
        <f t="shared" si="2"/>
      </c>
      <c r="O22" s="28"/>
      <c r="P22" s="29"/>
      <c r="AS22" s="2"/>
      <c r="AU22" s="2"/>
    </row>
    <row r="23" spans="1:47" s="3" customFormat="1" ht="12.75">
      <c r="A23" s="26">
        <v>20</v>
      </c>
      <c r="B23" s="30">
        <v>12.7</v>
      </c>
      <c r="C23" s="30">
        <v>6.35</v>
      </c>
      <c r="D23" s="27">
        <f t="shared" si="3"/>
        <v>17.611250000000002</v>
      </c>
      <c r="E23" s="27">
        <f t="shared" si="4"/>
        <v>26.769099999999998</v>
      </c>
      <c r="F23" s="30">
        <v>14.089</v>
      </c>
      <c r="G23" s="30">
        <f t="shared" si="0"/>
      </c>
      <c r="H23" s="112">
        <f t="shared" si="5"/>
      </c>
      <c r="I23" s="28">
        <f t="shared" si="7"/>
      </c>
      <c r="J23" s="28">
        <f t="shared" si="10"/>
      </c>
      <c r="K23" s="28">
        <f t="shared" si="8"/>
      </c>
      <c r="L23" s="28">
        <f t="shared" si="11"/>
      </c>
      <c r="M23" s="28">
        <f t="shared" si="9"/>
      </c>
      <c r="N23" s="28">
        <f t="shared" si="2"/>
      </c>
      <c r="O23" s="28"/>
      <c r="P23" s="29"/>
      <c r="AS23" s="2"/>
      <c r="AU23" s="2"/>
    </row>
    <row r="24" spans="1:47" s="3" customFormat="1" ht="12.75">
      <c r="A24" s="26">
        <v>21</v>
      </c>
      <c r="B24" s="30">
        <v>10.668</v>
      </c>
      <c r="C24" s="30">
        <v>6.35</v>
      </c>
      <c r="D24" s="27">
        <f t="shared" si="3"/>
        <v>21.77</v>
      </c>
      <c r="E24" s="27">
        <f t="shared" si="4"/>
        <v>33.0904</v>
      </c>
      <c r="F24" s="30">
        <v>17.416</v>
      </c>
      <c r="G24" s="30">
        <f t="shared" si="0"/>
      </c>
      <c r="H24" s="112">
        <f t="shared" si="5"/>
      </c>
      <c r="I24" s="28" t="s">
        <v>48</v>
      </c>
      <c r="J24" s="28">
        <f t="shared" si="10"/>
      </c>
      <c r="K24" s="28">
        <f t="shared" si="8"/>
      </c>
      <c r="L24" s="28">
        <f t="shared" si="11"/>
      </c>
      <c r="M24" s="28">
        <f t="shared" si="9"/>
      </c>
      <c r="N24" s="28">
        <f t="shared" si="2"/>
      </c>
      <c r="O24" s="28"/>
      <c r="P24" s="29"/>
      <c r="AS24" s="2"/>
      <c r="AU24" s="2"/>
    </row>
    <row r="25" spans="1:47" s="3" customFormat="1" ht="12.75">
      <c r="A25" s="26">
        <v>22</v>
      </c>
      <c r="B25" s="30">
        <v>9.143999999999998</v>
      </c>
      <c r="C25" s="30">
        <v>5.588</v>
      </c>
      <c r="D25" s="27">
        <f t="shared" si="3"/>
        <v>26.48125</v>
      </c>
      <c r="E25" s="27">
        <f t="shared" si="4"/>
        <v>40.25149999999999</v>
      </c>
      <c r="F25" s="30">
        <v>21.185</v>
      </c>
      <c r="G25" s="30">
        <f t="shared" si="0"/>
      </c>
      <c r="H25" s="112">
        <f t="shared" si="5"/>
      </c>
      <c r="I25" s="28">
        <f t="shared" si="7"/>
      </c>
      <c r="J25" s="28">
        <f t="shared" si="10"/>
      </c>
      <c r="K25" s="28">
        <f t="shared" si="8"/>
      </c>
      <c r="L25" s="28">
        <f t="shared" si="11"/>
      </c>
      <c r="M25" s="28">
        <f t="shared" si="9"/>
      </c>
      <c r="N25" s="28">
        <f t="shared" si="2"/>
      </c>
      <c r="O25" s="28"/>
      <c r="P25" s="29"/>
      <c r="AS25" s="2"/>
      <c r="AU25" s="2"/>
    </row>
    <row r="26" spans="1:47" s="3" customFormat="1" ht="12.75">
      <c r="A26" s="26">
        <v>23</v>
      </c>
      <c r="B26" s="30">
        <v>7.62</v>
      </c>
      <c r="C26" s="30">
        <v>4.826</v>
      </c>
      <c r="D26" s="27">
        <f t="shared" si="3"/>
        <v>33.0775</v>
      </c>
      <c r="E26" s="27">
        <f t="shared" si="4"/>
        <v>50.2778</v>
      </c>
      <c r="F26" s="30">
        <v>26.462</v>
      </c>
      <c r="G26" s="30">
        <f t="shared" si="0"/>
      </c>
      <c r="H26" s="112">
        <f t="shared" si="5"/>
      </c>
      <c r="I26" s="28">
        <f t="shared" si="7"/>
      </c>
      <c r="J26" s="28">
        <f t="shared" si="10"/>
      </c>
      <c r="K26" s="28">
        <f t="shared" si="8"/>
      </c>
      <c r="L26" s="28">
        <f t="shared" si="11"/>
      </c>
      <c r="M26" s="28">
        <f t="shared" si="9"/>
      </c>
      <c r="N26" s="28">
        <f t="shared" si="2"/>
      </c>
      <c r="O26" s="28"/>
      <c r="P26" s="29"/>
      <c r="AS26" s="2"/>
      <c r="AU26" s="2"/>
    </row>
    <row r="27" spans="1:16" s="3" customFormat="1" ht="12.75">
      <c r="A27" s="26">
        <v>24</v>
      </c>
      <c r="B27" s="30">
        <v>6.858</v>
      </c>
      <c r="C27" s="30">
        <v>4.3180000000000005</v>
      </c>
      <c r="D27" s="27">
        <f t="shared" si="3"/>
        <v>39.495</v>
      </c>
      <c r="E27" s="27">
        <f t="shared" si="4"/>
        <v>60.032399999999996</v>
      </c>
      <c r="F27" s="30">
        <v>31.596</v>
      </c>
      <c r="G27" s="30">
        <f t="shared" si="0"/>
      </c>
      <c r="H27" s="112">
        <f t="shared" si="5"/>
      </c>
      <c r="I27" s="28">
        <f t="shared" si="7"/>
      </c>
      <c r="J27" s="28">
        <f t="shared" si="10"/>
      </c>
      <c r="K27" s="28">
        <f t="shared" si="8"/>
      </c>
      <c r="L27" s="28">
        <f t="shared" si="11"/>
      </c>
      <c r="M27" s="28">
        <f t="shared" si="9"/>
      </c>
      <c r="N27" s="28">
        <f t="shared" si="2"/>
      </c>
      <c r="O27" s="28"/>
      <c r="P27" s="29"/>
    </row>
    <row r="28" spans="1:16" s="3" customFormat="1" ht="12.75">
      <c r="A28" s="31"/>
      <c r="B28" s="28"/>
      <c r="C28" s="28"/>
      <c r="D28" s="28"/>
      <c r="E28" s="28"/>
      <c r="F28" s="28"/>
      <c r="G28" s="28"/>
      <c r="H28" s="28"/>
      <c r="I28" s="32">
        <f aca="true" t="shared" si="12" ref="I28:N28">SUM(I12:I27)</f>
        <v>58.18463925523662</v>
      </c>
      <c r="J28" s="33">
        <f t="shared" si="12"/>
        <v>94.10023784599156</v>
      </c>
      <c r="K28" s="33">
        <f t="shared" si="12"/>
        <v>81.3372123585258</v>
      </c>
      <c r="L28" s="32">
        <f t="shared" si="12"/>
        <v>87.71872510225867</v>
      </c>
      <c r="M28" s="32">
        <f t="shared" si="12"/>
        <v>70.04713401757606</v>
      </c>
      <c r="N28" s="33">
        <f t="shared" si="12"/>
        <v>4.282830471332699</v>
      </c>
      <c r="O28" s="28"/>
      <c r="P28" s="29"/>
    </row>
    <row r="29" spans="1:16" ht="12.75">
      <c r="A29" s="13"/>
      <c r="B29" s="16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8"/>
      <c r="P29" s="29"/>
    </row>
    <row r="30" spans="1:16" s="3" customFormat="1" ht="12.75">
      <c r="A30" s="31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16" s="55" customFormat="1" ht="12.75">
      <c r="A31" s="56"/>
      <c r="B31" s="33"/>
      <c r="C31" s="3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8"/>
      <c r="P31" s="29"/>
    </row>
    <row r="32" spans="1:32" s="55" customFormat="1" ht="12.75">
      <c r="A32" s="57"/>
      <c r="B32" s="58"/>
      <c r="C32" s="59" t="s">
        <v>26</v>
      </c>
      <c r="D32" s="58"/>
      <c r="E32" s="58"/>
      <c r="F32" s="33"/>
      <c r="G32" s="33"/>
      <c r="H32" s="60"/>
      <c r="I32" s="60"/>
      <c r="J32" s="60"/>
      <c r="K32" s="60"/>
      <c r="L32" s="60"/>
      <c r="M32" s="60"/>
      <c r="N32" s="60"/>
      <c r="O32" s="16"/>
      <c r="P32" s="17"/>
      <c r="Q32" s="61"/>
      <c r="R32" s="62"/>
      <c r="S32" s="61"/>
      <c r="T32" s="61"/>
      <c r="U32" s="61"/>
      <c r="V32" s="61"/>
      <c r="W32" s="61"/>
      <c r="X32" s="63"/>
      <c r="Y32" s="61"/>
      <c r="Z32" s="61"/>
      <c r="AA32" s="61"/>
      <c r="AB32" s="61"/>
      <c r="AC32" s="61"/>
      <c r="AD32" s="61"/>
      <c r="AE32" s="61"/>
      <c r="AF32" s="61"/>
    </row>
    <row r="33" spans="1:32" s="67" customFormat="1" ht="12.75" customHeight="1">
      <c r="A33" s="64" t="s">
        <v>11</v>
      </c>
      <c r="B33" s="65" t="s">
        <v>27</v>
      </c>
      <c r="C33" s="59" t="s">
        <v>28</v>
      </c>
      <c r="D33" s="65" t="s">
        <v>29</v>
      </c>
      <c r="E33" s="65" t="s">
        <v>30</v>
      </c>
      <c r="F33" s="65" t="s">
        <v>31</v>
      </c>
      <c r="G33" s="65">
        <v>5</v>
      </c>
      <c r="H33" s="65" t="s">
        <v>32</v>
      </c>
      <c r="I33" s="65" t="s">
        <v>33</v>
      </c>
      <c r="J33" s="65" t="s">
        <v>34</v>
      </c>
      <c r="K33" s="65" t="s">
        <v>35</v>
      </c>
      <c r="L33" s="65" t="s">
        <v>36</v>
      </c>
      <c r="M33" s="65" t="s">
        <v>37</v>
      </c>
      <c r="N33" s="65" t="s">
        <v>38</v>
      </c>
      <c r="O33" s="65" t="s">
        <v>73</v>
      </c>
      <c r="P33" s="66"/>
      <c r="Q33" s="63" t="s">
        <v>11</v>
      </c>
      <c r="R33" s="4" t="s">
        <v>56</v>
      </c>
      <c r="S33" s="63" t="s">
        <v>12</v>
      </c>
      <c r="T33" s="63" t="s">
        <v>13</v>
      </c>
      <c r="U33" s="63" t="s">
        <v>14</v>
      </c>
      <c r="V33" s="63" t="s">
        <v>15</v>
      </c>
      <c r="W33" s="63" t="s">
        <v>16</v>
      </c>
      <c r="X33" s="63" t="s">
        <v>17</v>
      </c>
      <c r="Y33" s="63" t="s">
        <v>18</v>
      </c>
      <c r="Z33" s="63" t="s">
        <v>19</v>
      </c>
      <c r="AA33" s="63" t="s">
        <v>20</v>
      </c>
      <c r="AB33" s="63" t="s">
        <v>21</v>
      </c>
      <c r="AC33" s="63" t="s">
        <v>22</v>
      </c>
      <c r="AD33" s="63" t="s">
        <v>23</v>
      </c>
      <c r="AE33" s="63" t="s">
        <v>24</v>
      </c>
      <c r="AF33" s="63" t="s">
        <v>25</v>
      </c>
    </row>
    <row r="34" spans="1:44" s="67" customFormat="1" ht="12" hidden="1">
      <c r="A34" s="57"/>
      <c r="B34" s="58"/>
      <c r="C34" s="6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69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R34" s="61"/>
    </row>
    <row r="35" spans="1:44" s="67" customFormat="1" ht="12" hidden="1">
      <c r="A35" s="70">
        <v>3</v>
      </c>
      <c r="B35" s="58">
        <f aca="true" t="shared" si="13" ref="B35:B44">IF(N=A35,4340*R35*(upperfreq+lowerfreq)/(2*BW*Q),"")</f>
      </c>
      <c r="C35" s="68">
        <f aca="true" t="shared" si="14" ref="C35:C44">IF(N=A35,BW/S35/T35,"")</f>
      </c>
      <c r="D35" s="58">
        <f>IF(N=$A35,BW/SQRT(T35*U35),"")</f>
      </c>
      <c r="E35" s="58">
        <f>IF(N=$A35,BW/SQRT(U35*V35),"")</f>
      </c>
      <c r="F35" s="58"/>
      <c r="G35" s="58"/>
      <c r="H35" s="58"/>
      <c r="I35" s="58"/>
      <c r="J35" s="58"/>
      <c r="K35" s="58"/>
      <c r="L35" s="58"/>
      <c r="M35" s="58"/>
      <c r="N35" s="58"/>
      <c r="O35" s="58">
        <f aca="true" t="shared" si="15" ref="O35:O43">IF(N=$A35,$C35,"")</f>
      </c>
      <c r="P35" s="69"/>
      <c r="Q35" s="71">
        <v>3</v>
      </c>
      <c r="R35" s="72">
        <f>SUM(T35:V35)</f>
        <v>2.3434180684391204</v>
      </c>
      <c r="S35" s="73">
        <v>1</v>
      </c>
      <c r="T35" s="74">
        <f aca="true" t="shared" si="16" ref="T35:T44">2*S53/Q53</f>
        <v>0.6703393535235385</v>
      </c>
      <c r="U35" s="74">
        <f aca="true" t="shared" si="17" ref="U35:U44">4*S53*T53/(AF53*T35)</f>
        <v>1.0027393613920434</v>
      </c>
      <c r="V35" s="74">
        <f aca="true" t="shared" si="18" ref="V35:V44">4*T53*U53/(AG53*U35)</f>
        <v>0.6703393535235385</v>
      </c>
      <c r="W35" s="74">
        <v>1</v>
      </c>
      <c r="X35" s="74"/>
      <c r="Y35" s="74"/>
      <c r="Z35" s="74"/>
      <c r="AA35" s="74"/>
      <c r="AD35" s="75"/>
      <c r="AR35" s="61"/>
    </row>
    <row r="36" spans="1:44" s="67" customFormat="1" ht="12" hidden="1">
      <c r="A36" s="70">
        <v>4</v>
      </c>
      <c r="B36" s="58">
        <f t="shared" si="13"/>
      </c>
      <c r="C36" s="68">
        <f t="shared" si="14"/>
      </c>
      <c r="D36" s="58">
        <f aca="true" t="shared" si="19" ref="D36:D44">IF(N=A36,BW/SQRT(T36*U36),"")</f>
      </c>
      <c r="E36" s="58">
        <f aca="true" t="shared" si="20" ref="E36:E44">IF(N=$A36,BW/SQRT(U36*V36),"")</f>
      </c>
      <c r="F36" s="58">
        <f aca="true" t="shared" si="21" ref="F36:F44">IF(N=$A36,BW/SQRT(V36*W36),"")</f>
      </c>
      <c r="G36" s="58"/>
      <c r="H36" s="58"/>
      <c r="I36" s="58"/>
      <c r="J36" s="58"/>
      <c r="K36" s="58"/>
      <c r="L36" s="58"/>
      <c r="M36" s="58"/>
      <c r="N36" s="58"/>
      <c r="O36" s="58">
        <f t="shared" si="15"/>
      </c>
      <c r="P36" s="69"/>
      <c r="Q36" s="71">
        <v>4</v>
      </c>
      <c r="R36" s="72">
        <f>SUM(T36:W36)</f>
        <v>4.022809996519306</v>
      </c>
      <c r="S36" s="73">
        <v>1</v>
      </c>
      <c r="T36" s="74">
        <f t="shared" si="16"/>
        <v>0.7533088261415479</v>
      </c>
      <c r="U36" s="74">
        <f t="shared" si="17"/>
        <v>1.2251992270658363</v>
      </c>
      <c r="V36" s="74">
        <f t="shared" si="18"/>
        <v>1.3712057199788104</v>
      </c>
      <c r="W36" s="74">
        <f aca="true" t="shared" si="22" ref="W36:W44">4*U54*V54/(AH54*V36)</f>
        <v>0.6730962233331111</v>
      </c>
      <c r="X36" s="74">
        <f>TANH(BETA/4)^-2</f>
        <v>1.1191695927385115</v>
      </c>
      <c r="Y36" s="74"/>
      <c r="Z36" s="74"/>
      <c r="AA36" s="74"/>
      <c r="AD36" s="75"/>
      <c r="AR36" s="61"/>
    </row>
    <row r="37" spans="1:44" s="67" customFormat="1" ht="12" hidden="1">
      <c r="A37" s="70">
        <v>5</v>
      </c>
      <c r="B37" s="58">
        <f t="shared" si="13"/>
      </c>
      <c r="C37" s="68">
        <f t="shared" si="14"/>
      </c>
      <c r="D37" s="58">
        <f t="shared" si="19"/>
      </c>
      <c r="E37" s="58">
        <f t="shared" si="20"/>
      </c>
      <c r="F37" s="58">
        <f t="shared" si="21"/>
      </c>
      <c r="G37" s="58">
        <f aca="true" t="shared" si="23" ref="G37:G44">IF(N=$A37,BW/SQRT(W37*X37),"")</f>
      </c>
      <c r="H37" s="58"/>
      <c r="I37" s="58"/>
      <c r="J37" s="58"/>
      <c r="K37" s="58"/>
      <c r="L37" s="58"/>
      <c r="M37" s="58"/>
      <c r="N37" s="58"/>
      <c r="O37" s="58">
        <f t="shared" si="15"/>
      </c>
      <c r="P37" s="69"/>
      <c r="Q37" s="71">
        <v>5</v>
      </c>
      <c r="R37" s="72">
        <f>SUM(T37:X37)</f>
        <v>5.862254724332883</v>
      </c>
      <c r="S37" s="73">
        <v>1</v>
      </c>
      <c r="T37" s="74">
        <f t="shared" si="16"/>
        <v>0.7960459736004868</v>
      </c>
      <c r="U37" s="74">
        <f t="shared" si="17"/>
        <v>1.3247556203936235</v>
      </c>
      <c r="V37" s="74">
        <f t="shared" si="18"/>
        <v>1.6206515363446627</v>
      </c>
      <c r="W37" s="74">
        <f t="shared" si="22"/>
        <v>1.3247556203936233</v>
      </c>
      <c r="X37" s="74">
        <f aca="true" t="shared" si="24" ref="X37:X44">4*V55*W55/(AI55*W37)</f>
        <v>0.796045973600487</v>
      </c>
      <c r="Y37" s="74">
        <v>1</v>
      </c>
      <c r="Z37" s="74"/>
      <c r="AA37" s="74"/>
      <c r="AD37" s="75"/>
      <c r="AE37" s="76"/>
      <c r="AR37" s="61"/>
    </row>
    <row r="38" spans="1:44" s="55" customFormat="1" ht="12" hidden="1">
      <c r="A38" s="70">
        <v>6</v>
      </c>
      <c r="B38" s="58">
        <f t="shared" si="13"/>
      </c>
      <c r="C38" s="68">
        <f t="shared" si="14"/>
      </c>
      <c r="D38" s="58">
        <f t="shared" si="19"/>
      </c>
      <c r="E38" s="58">
        <f t="shared" si="20"/>
      </c>
      <c r="F38" s="58">
        <f t="shared" si="21"/>
      </c>
      <c r="G38" s="58">
        <f t="shared" si="23"/>
      </c>
      <c r="H38" s="58">
        <f aca="true" t="shared" si="25" ref="H38:H44">IF(N=$A38,BW/SQRT(X38*Y38),"")</f>
      </c>
      <c r="I38" s="58"/>
      <c r="J38" s="58"/>
      <c r="K38" s="58"/>
      <c r="L38" s="58"/>
      <c r="M38" s="58"/>
      <c r="N38" s="58"/>
      <c r="O38" s="58">
        <f t="shared" si="15"/>
      </c>
      <c r="P38" s="69"/>
      <c r="Q38" s="71">
        <v>6</v>
      </c>
      <c r="R38" s="72">
        <f>SUM(T38:Y38)</f>
        <v>7.74445041968825</v>
      </c>
      <c r="S38" s="73">
        <v>1</v>
      </c>
      <c r="T38" s="74">
        <f t="shared" si="16"/>
        <v>0.8205407021630775</v>
      </c>
      <c r="U38" s="74">
        <f t="shared" si="17"/>
        <v>1.376845006456999</v>
      </c>
      <c r="V38" s="74">
        <f t="shared" si="18"/>
        <v>1.7285125384556872</v>
      </c>
      <c r="W38" s="74">
        <f t="shared" si="22"/>
        <v>1.5444598831765668</v>
      </c>
      <c r="X38" s="74">
        <f t="shared" si="24"/>
        <v>1.5409230651405328</v>
      </c>
      <c r="Y38" s="74">
        <f aca="true" t="shared" si="26" ref="Y38:Y44">4*W56*X56/(AJ56*X38)</f>
        <v>0.7331692242953869</v>
      </c>
      <c r="Z38" s="74">
        <f>TANH(BETA/4)^-2</f>
        <v>1.1191695927385115</v>
      </c>
      <c r="AA38" s="74"/>
      <c r="AB38" s="67"/>
      <c r="AC38" s="67"/>
      <c r="AD38" s="67"/>
      <c r="AE38" s="67"/>
      <c r="AF38" s="67"/>
      <c r="AR38" s="61"/>
    </row>
    <row r="39" spans="1:44" s="55" customFormat="1" ht="12" hidden="1">
      <c r="A39" s="70">
        <v>7</v>
      </c>
      <c r="B39" s="58">
        <f t="shared" si="13"/>
      </c>
      <c r="C39" s="68">
        <f t="shared" si="14"/>
      </c>
      <c r="D39" s="58">
        <f t="shared" si="19"/>
      </c>
      <c r="E39" s="58">
        <f t="shared" si="20"/>
      </c>
      <c r="F39" s="58">
        <f t="shared" si="21"/>
      </c>
      <c r="G39" s="58">
        <f t="shared" si="23"/>
      </c>
      <c r="H39" s="58">
        <f t="shared" si="25"/>
      </c>
      <c r="I39" s="58">
        <f aca="true" t="shared" si="27" ref="I39:I44">IF(N=$A39,BW/SQRT(Y39*Z39),"")</f>
      </c>
      <c r="J39" s="58"/>
      <c r="K39" s="58"/>
      <c r="L39" s="58"/>
      <c r="M39" s="58"/>
      <c r="N39" s="58"/>
      <c r="O39" s="58">
        <f t="shared" si="15"/>
      </c>
      <c r="P39" s="69"/>
      <c r="Q39" s="71">
        <v>7</v>
      </c>
      <c r="R39" s="72">
        <f>SUM(T39:Z39)</f>
        <v>9.691577435648698</v>
      </c>
      <c r="S39" s="73">
        <v>1</v>
      </c>
      <c r="T39" s="74">
        <f t="shared" si="16"/>
        <v>0.8357704982001564</v>
      </c>
      <c r="U39" s="74">
        <f t="shared" si="17"/>
        <v>1.4073812024259345</v>
      </c>
      <c r="V39" s="74">
        <f t="shared" si="18"/>
        <v>1.7842551456774545</v>
      </c>
      <c r="W39" s="74">
        <f t="shared" si="22"/>
        <v>1.6367637430416082</v>
      </c>
      <c r="X39" s="74">
        <f t="shared" si="24"/>
        <v>1.7842551456774545</v>
      </c>
      <c r="Y39" s="74">
        <f t="shared" si="26"/>
        <v>1.4073812024259351</v>
      </c>
      <c r="Z39" s="74">
        <f aca="true" t="shared" si="28" ref="Z39:Z44">4*X57*Y57/(AK57*Y39)</f>
        <v>0.8357704982001551</v>
      </c>
      <c r="AA39" s="74">
        <v>1</v>
      </c>
      <c r="AB39" s="67"/>
      <c r="AC39" s="67"/>
      <c r="AD39" s="67"/>
      <c r="AE39" s="67"/>
      <c r="AF39" s="67"/>
      <c r="AR39" s="61"/>
    </row>
    <row r="40" spans="1:44" s="55" customFormat="1" ht="12" hidden="1">
      <c r="A40" s="70">
        <v>8</v>
      </c>
      <c r="B40" s="58">
        <f t="shared" si="13"/>
      </c>
      <c r="C40" s="68">
        <f t="shared" si="14"/>
      </c>
      <c r="D40" s="58">
        <f t="shared" si="19"/>
      </c>
      <c r="E40" s="58">
        <f t="shared" si="20"/>
      </c>
      <c r="F40" s="58">
        <f t="shared" si="21"/>
      </c>
      <c r="G40" s="58">
        <f t="shared" si="23"/>
      </c>
      <c r="H40" s="58">
        <f t="shared" si="25"/>
      </c>
      <c r="I40" s="58">
        <f t="shared" si="27"/>
      </c>
      <c r="J40" s="58">
        <f>IF(N=$A40,BW/SQRT(Z40*AA40),"")</f>
      </c>
      <c r="K40" s="58"/>
      <c r="L40" s="58"/>
      <c r="M40" s="58"/>
      <c r="N40" s="58"/>
      <c r="O40" s="58">
        <f t="shared" si="15"/>
      </c>
      <c r="P40" s="69"/>
      <c r="Q40" s="71">
        <v>8</v>
      </c>
      <c r="R40" s="72">
        <f>SUM(T40:AA40)</f>
        <v>11.633553669146098</v>
      </c>
      <c r="S40" s="73">
        <v>1</v>
      </c>
      <c r="T40" s="74">
        <f t="shared" si="16"/>
        <v>0.8458466830735695</v>
      </c>
      <c r="U40" s="74">
        <f t="shared" si="17"/>
        <v>1.4268038303743324</v>
      </c>
      <c r="V40" s="74">
        <f t="shared" si="18"/>
        <v>1.8168555266168793</v>
      </c>
      <c r="W40" s="74">
        <f t="shared" si="22"/>
        <v>1.6836951074253916</v>
      </c>
      <c r="X40" s="74">
        <f t="shared" si="24"/>
        <v>1.8843403676731005</v>
      </c>
      <c r="Y40" s="74">
        <f t="shared" si="26"/>
        <v>1.6233960772390095</v>
      </c>
      <c r="Z40" s="74">
        <f t="shared" si="28"/>
        <v>1.59683546175779</v>
      </c>
      <c r="AA40" s="74">
        <f>4*Y58*Z58/(AL58*Z40)</f>
        <v>0.7557806149860243</v>
      </c>
      <c r="AB40" s="74">
        <f>TANH(BETA/4)^-2</f>
        <v>1.1191695927385115</v>
      </c>
      <c r="AC40" s="61"/>
      <c r="AD40" s="61"/>
      <c r="AE40" s="61"/>
      <c r="AF40" s="61"/>
      <c r="AR40" s="61"/>
    </row>
    <row r="41" spans="1:44" s="55" customFormat="1" ht="12" hidden="1">
      <c r="A41" s="70">
        <v>9</v>
      </c>
      <c r="B41" s="58">
        <f t="shared" si="13"/>
      </c>
      <c r="C41" s="68">
        <f t="shared" si="14"/>
      </c>
      <c r="D41" s="58">
        <f t="shared" si="19"/>
      </c>
      <c r="E41" s="58">
        <f t="shared" si="20"/>
      </c>
      <c r="F41" s="58">
        <f t="shared" si="21"/>
      </c>
      <c r="G41" s="58">
        <f t="shared" si="23"/>
      </c>
      <c r="H41" s="58">
        <f t="shared" si="25"/>
      </c>
      <c r="I41" s="58">
        <f t="shared" si="27"/>
      </c>
      <c r="J41" s="58">
        <f>IF(N=$A41,BW/SQRT(Z41*AA41),"")</f>
      </c>
      <c r="K41" s="58">
        <f>IF(N=$A41,BW/SQRT(AA41*AB41),"")</f>
      </c>
      <c r="L41" s="58"/>
      <c r="M41" s="58"/>
      <c r="N41" s="58"/>
      <c r="O41" s="58">
        <f t="shared" si="15"/>
      </c>
      <c r="P41" s="69"/>
      <c r="Q41" s="71">
        <v>9</v>
      </c>
      <c r="R41" s="72">
        <f>SUM(T41:AB41)</f>
        <v>13.617116185652883</v>
      </c>
      <c r="S41" s="73">
        <v>1</v>
      </c>
      <c r="T41" s="74">
        <f t="shared" si="16"/>
        <v>0.8528438070812693</v>
      </c>
      <c r="U41" s="74">
        <f t="shared" si="17"/>
        <v>1.4399265602423965</v>
      </c>
      <c r="V41" s="74">
        <f t="shared" si="18"/>
        <v>1.8376427884129476</v>
      </c>
      <c r="W41" s="74">
        <f t="shared" si="22"/>
        <v>1.7108979769295483</v>
      </c>
      <c r="X41" s="74">
        <f t="shared" si="24"/>
        <v>1.9344939203205573</v>
      </c>
      <c r="Y41" s="74">
        <f t="shared" si="26"/>
        <v>1.7108979769295485</v>
      </c>
      <c r="Z41" s="74">
        <f t="shared" si="28"/>
        <v>1.8376427884129474</v>
      </c>
      <c r="AA41" s="74">
        <f>4*Y59*Z59/(AL59*Z41)</f>
        <v>1.4399265602423974</v>
      </c>
      <c r="AB41" s="74">
        <f>4*Z59*AA59/(AM59*AA41)</f>
        <v>0.8528438070812688</v>
      </c>
      <c r="AC41" s="74">
        <v>1</v>
      </c>
      <c r="AD41" s="61"/>
      <c r="AE41" s="61"/>
      <c r="AF41" s="61"/>
      <c r="AR41" s="61"/>
    </row>
    <row r="42" spans="1:44" s="55" customFormat="1" ht="12" hidden="1">
      <c r="A42" s="70">
        <v>10</v>
      </c>
      <c r="B42" s="58">
        <f t="shared" si="13"/>
      </c>
      <c r="C42" s="68">
        <f t="shared" si="14"/>
      </c>
      <c r="D42" s="58">
        <f t="shared" si="19"/>
      </c>
      <c r="E42" s="58">
        <f t="shared" si="20"/>
      </c>
      <c r="F42" s="58">
        <f t="shared" si="21"/>
      </c>
      <c r="G42" s="58">
        <f t="shared" si="23"/>
      </c>
      <c r="H42" s="58">
        <f t="shared" si="25"/>
      </c>
      <c r="I42" s="58">
        <f t="shared" si="27"/>
      </c>
      <c r="J42" s="58">
        <f>IF(N=$A42,BW/SQRT(Z42*AA42),"")</f>
      </c>
      <c r="K42" s="58">
        <f>IF(N=$A42,BW/SQRT(AA42*AB42),"")</f>
      </c>
      <c r="L42" s="58">
        <f>IF(N=$A42,BW/SQRT(AB42*AC42),"")</f>
      </c>
      <c r="M42" s="58"/>
      <c r="N42" s="58"/>
      <c r="O42" s="58">
        <f t="shared" si="15"/>
      </c>
      <c r="P42" s="69"/>
      <c r="Q42" s="71">
        <v>10</v>
      </c>
      <c r="R42" s="72">
        <f>SUM(T42:AC42)</f>
        <v>15.581693718848191</v>
      </c>
      <c r="S42" s="73">
        <v>1</v>
      </c>
      <c r="T42" s="74">
        <f t="shared" si="16"/>
        <v>0.8578938196651374</v>
      </c>
      <c r="U42" s="74">
        <f t="shared" si="17"/>
        <v>1.4492123345104093</v>
      </c>
      <c r="V42" s="74">
        <f t="shared" si="18"/>
        <v>1.8517561512304366</v>
      </c>
      <c r="W42" s="74">
        <f t="shared" si="22"/>
        <v>1.7281673411990468</v>
      </c>
      <c r="X42" s="74">
        <f t="shared" si="24"/>
        <v>1.9632814247062165</v>
      </c>
      <c r="Y42" s="74">
        <f t="shared" si="26"/>
        <v>1.7542304914684423</v>
      </c>
      <c r="Z42" s="74">
        <f t="shared" si="28"/>
        <v>1.934112339433734</v>
      </c>
      <c r="AA42" s="74">
        <f>4*Y60*Z60/(AL60*Z42)</f>
        <v>1.6545804704176683</v>
      </c>
      <c r="AB42" s="74">
        <f>4*Z60*AA60/(AM60*AA42)</f>
        <v>1.6219143782056424</v>
      </c>
      <c r="AC42" s="74">
        <f>4*AA60*AB60/(AN60*AB42)</f>
        <v>0.7665449680114572</v>
      </c>
      <c r="AD42" s="74">
        <f>TANH(BETA/4)^-2</f>
        <v>1.1191695927385115</v>
      </c>
      <c r="AE42" s="74"/>
      <c r="AF42" s="74"/>
      <c r="AR42" s="63"/>
    </row>
    <row r="43" spans="1:44" s="55" customFormat="1" ht="12" hidden="1">
      <c r="A43" s="70">
        <v>11</v>
      </c>
      <c r="B43" s="58">
        <f t="shared" si="13"/>
      </c>
      <c r="C43" s="68">
        <f t="shared" si="14"/>
      </c>
      <c r="D43" s="58">
        <f t="shared" si="19"/>
      </c>
      <c r="E43" s="58">
        <f t="shared" si="20"/>
      </c>
      <c r="F43" s="58">
        <f t="shared" si="21"/>
      </c>
      <c r="G43" s="58">
        <f t="shared" si="23"/>
      </c>
      <c r="H43" s="58">
        <f t="shared" si="25"/>
      </c>
      <c r="I43" s="58">
        <f t="shared" si="27"/>
      </c>
      <c r="J43" s="58">
        <f>IF(N=$A43,BW/SQRT(Z43*AA43),"")</f>
      </c>
      <c r="K43" s="58">
        <f>IF(N=$A43,BW/SQRT(AA43*AB43),"")</f>
      </c>
      <c r="L43" s="58">
        <f>IF(N=$A43,BW/SQRT(AB43*AC43),"")</f>
      </c>
      <c r="M43" s="58">
        <f>IF(N=$A43,BW/SQRT(AC43*AD43),"")</f>
      </c>
      <c r="N43" s="58"/>
      <c r="O43" s="58">
        <f t="shared" si="15"/>
      </c>
      <c r="P43" s="69"/>
      <c r="Q43" s="71">
        <v>11</v>
      </c>
      <c r="R43" s="72">
        <f>SUM(T43:AD43)</f>
        <v>17.5804796708178</v>
      </c>
      <c r="S43" s="73">
        <v>1</v>
      </c>
      <c r="T43" s="74">
        <f t="shared" si="16"/>
        <v>0.8616546651881108</v>
      </c>
      <c r="U43" s="74">
        <f t="shared" si="17"/>
        <v>1.4560269875452754</v>
      </c>
      <c r="V43" s="74">
        <f t="shared" si="18"/>
        <v>1.861802761688182</v>
      </c>
      <c r="W43" s="74">
        <f t="shared" si="22"/>
        <v>1.7398740044441774</v>
      </c>
      <c r="X43" s="74">
        <f t="shared" si="24"/>
        <v>1.981440224345271</v>
      </c>
      <c r="Y43" s="74">
        <f t="shared" si="26"/>
        <v>1.7788823843957666</v>
      </c>
      <c r="Z43" s="74">
        <f t="shared" si="28"/>
        <v>1.9814402243452705</v>
      </c>
      <c r="AA43" s="74">
        <f>4*Y61*Z61/(AL61*Z43)</f>
        <v>1.7398740044441785</v>
      </c>
      <c r="AB43" s="74">
        <f>4*Z61*AA61/(AM61*AA43)</f>
        <v>1.8618027616881818</v>
      </c>
      <c r="AC43" s="74">
        <f>4*AA61*AB61/(AN61*AB43)</f>
        <v>1.456026987545276</v>
      </c>
      <c r="AD43" s="74">
        <f>4*AB61*AC61/(AO61*AC43)</f>
        <v>0.8616546651881113</v>
      </c>
      <c r="AE43" s="74">
        <v>1</v>
      </c>
      <c r="AF43" s="74"/>
      <c r="AR43" s="61"/>
    </row>
    <row r="44" spans="1:44" s="55" customFormat="1" ht="12" hidden="1">
      <c r="A44" s="70">
        <v>12</v>
      </c>
      <c r="B44" s="58">
        <f t="shared" si="13"/>
        <v>1.824700568593546</v>
      </c>
      <c r="C44" s="68">
        <f t="shared" si="14"/>
        <v>462.67962611697385</v>
      </c>
      <c r="D44" s="58">
        <f t="shared" si="19"/>
        <v>355.8923665594978</v>
      </c>
      <c r="E44" s="58">
        <f t="shared" si="20"/>
        <v>242.03485785433955</v>
      </c>
      <c r="F44" s="58">
        <f t="shared" si="21"/>
        <v>221.2751795943534</v>
      </c>
      <c r="G44" s="58">
        <f t="shared" si="23"/>
        <v>214.25613947380143</v>
      </c>
      <c r="H44" s="58">
        <f t="shared" si="25"/>
        <v>211.48458759462497</v>
      </c>
      <c r="I44" s="58">
        <f t="shared" si="27"/>
        <v>210.72180723969885</v>
      </c>
      <c r="J44" s="58">
        <f>IF(N=$A44,BW/SQRT(Z44*AA44),"")</f>
        <v>211.48458759462494</v>
      </c>
      <c r="K44" s="58">
        <f>IF(N=$A44,BW/SQRT(AA44*AB44),"")</f>
        <v>214.25613947380145</v>
      </c>
      <c r="L44" s="58">
        <f>IF(N=$A44,BW/SQRT(AB44*AC44),"")</f>
        <v>221.2751795943534</v>
      </c>
      <c r="M44" s="58">
        <f>IF(N=$A44,BW/SQRT(AC44*AD44),"")</f>
        <v>242.03485785433944</v>
      </c>
      <c r="N44" s="58">
        <f>IF(N=$A44,BW/SQRT(AD44*AE44),"")</f>
        <v>355.8923665594974</v>
      </c>
      <c r="O44" s="58">
        <f>IF(N=$A44,$C44,"")</f>
        <v>462.67962611697385</v>
      </c>
      <c r="P44" s="69"/>
      <c r="Q44" s="71">
        <v>12</v>
      </c>
      <c r="R44" s="72">
        <f>SUM(T44:AE44)</f>
        <v>19.55525204794285</v>
      </c>
      <c r="S44" s="73">
        <v>1</v>
      </c>
      <c r="T44" s="74">
        <f t="shared" si="16"/>
        <v>0.8645290983676749</v>
      </c>
      <c r="U44" s="74">
        <f t="shared" si="17"/>
        <v>1.4611776518316735</v>
      </c>
      <c r="V44" s="74">
        <f t="shared" si="18"/>
        <v>1.8692230435185448</v>
      </c>
      <c r="W44" s="74">
        <f t="shared" si="22"/>
        <v>1.7482094058566382</v>
      </c>
      <c r="X44" s="74">
        <f t="shared" si="24"/>
        <v>1.993700782424286</v>
      </c>
      <c r="Y44" s="74">
        <f t="shared" si="26"/>
        <v>1.7943309901406055</v>
      </c>
      <c r="Z44" s="74">
        <f t="shared" si="28"/>
        <v>2.008160683473752</v>
      </c>
      <c r="AA44" s="74">
        <f>4*Y62*Z62/(AL62*Z44)</f>
        <v>1.7814107847103602</v>
      </c>
      <c r="AB44" s="74">
        <f>4*Z62*AA62/(AM62*AA44)</f>
        <v>1.956542808774209</v>
      </c>
      <c r="AC44" s="74">
        <f>4*AA62*AB62/(AN62*AB44)</f>
        <v>1.6701874815457747</v>
      </c>
      <c r="AD44" s="74">
        <f>4*AB62*AC62/(AO62*AC44)</f>
        <v>1.6353055975190696</v>
      </c>
      <c r="AE44" s="74">
        <f>4*AC62*AD62/(AP62*AD44)</f>
        <v>0.7724737197802598</v>
      </c>
      <c r="AF44" s="74">
        <f>TANH(BETA/4)^-2</f>
        <v>1.1191695927385115</v>
      </c>
      <c r="AR44" s="75"/>
    </row>
    <row r="45" spans="1:44" s="55" customFormat="1" ht="12" hidden="1">
      <c r="A45" s="70">
        <f>N</f>
        <v>12</v>
      </c>
      <c r="B45" s="58">
        <f aca="true" t="shared" si="29" ref="B45:O45">SUM(B35:B44)</f>
        <v>1.824700568593546</v>
      </c>
      <c r="C45" s="68">
        <f t="shared" si="29"/>
        <v>462.67962611697385</v>
      </c>
      <c r="D45" s="58">
        <f t="shared" si="29"/>
        <v>355.8923665594978</v>
      </c>
      <c r="E45" s="58">
        <f t="shared" si="29"/>
        <v>242.03485785433955</v>
      </c>
      <c r="F45" s="58">
        <f t="shared" si="29"/>
        <v>221.2751795943534</v>
      </c>
      <c r="G45" s="58">
        <f t="shared" si="29"/>
        <v>214.25613947380143</v>
      </c>
      <c r="H45" s="58">
        <f t="shared" si="29"/>
        <v>211.48458759462497</v>
      </c>
      <c r="I45" s="58">
        <f t="shared" si="29"/>
        <v>210.72180723969885</v>
      </c>
      <c r="J45" s="58">
        <f t="shared" si="29"/>
        <v>211.48458759462494</v>
      </c>
      <c r="K45" s="58">
        <f t="shared" si="29"/>
        <v>214.25613947380145</v>
      </c>
      <c r="L45" s="58">
        <f t="shared" si="29"/>
        <v>221.2751795943534</v>
      </c>
      <c r="M45" s="58">
        <f t="shared" si="29"/>
        <v>242.03485785433944</v>
      </c>
      <c r="N45" s="58">
        <f t="shared" si="29"/>
        <v>355.8923665594974</v>
      </c>
      <c r="O45" s="58">
        <f t="shared" si="29"/>
        <v>462.67962611697385</v>
      </c>
      <c r="P45" s="69"/>
      <c r="AR45" s="61"/>
    </row>
    <row r="46" spans="1:44" s="55" customFormat="1" ht="12" hidden="1">
      <c r="A46" s="57"/>
      <c r="B46" s="58"/>
      <c r="C46" s="68"/>
      <c r="D46" s="58"/>
      <c r="E46" s="58"/>
      <c r="F46" s="58"/>
      <c r="G46" s="58"/>
      <c r="H46" s="58"/>
      <c r="I46" s="58"/>
      <c r="J46" s="65"/>
      <c r="K46" s="58"/>
      <c r="L46" s="58"/>
      <c r="M46" s="58"/>
      <c r="N46" s="58"/>
      <c r="O46" s="83">
        <f>SQRT(O45*PI()/2/((upperfreq+lowerfreq)*500))*wg/wo</f>
        <v>0.5148347333887533</v>
      </c>
      <c r="P46" s="77"/>
      <c r="AR46" s="61"/>
    </row>
    <row r="47" spans="1:44" s="81" customFormat="1" ht="12.75" customHeight="1">
      <c r="A47" s="53">
        <f>N</f>
        <v>12</v>
      </c>
      <c r="B47" s="78">
        <f>B45</f>
        <v>1.824700568593546</v>
      </c>
      <c r="C47" s="78">
        <f>C45</f>
        <v>462.67962611697385</v>
      </c>
      <c r="D47" s="78">
        <f>D45</f>
        <v>355.8923665594978</v>
      </c>
      <c r="E47" s="78">
        <f>IF(E45&gt;0,E45,"")</f>
        <v>242.03485785433955</v>
      </c>
      <c r="F47" s="78">
        <f aca="true" t="shared" si="30" ref="F47:N47">IF(F45&gt;0,F45,"")</f>
        <v>221.2751795943534</v>
      </c>
      <c r="G47" s="78">
        <f t="shared" si="30"/>
        <v>214.25613947380143</v>
      </c>
      <c r="H47" s="78">
        <f t="shared" si="30"/>
        <v>211.48458759462497</v>
      </c>
      <c r="I47" s="78">
        <f t="shared" si="30"/>
        <v>210.72180723969885</v>
      </c>
      <c r="J47" s="78">
        <f t="shared" si="30"/>
        <v>211.48458759462494</v>
      </c>
      <c r="K47" s="78">
        <f t="shared" si="30"/>
        <v>214.25613947380145</v>
      </c>
      <c r="L47" s="78">
        <f t="shared" si="30"/>
        <v>221.2751795943534</v>
      </c>
      <c r="M47" s="78">
        <f t="shared" si="30"/>
        <v>242.03485785433944</v>
      </c>
      <c r="N47" s="78">
        <f t="shared" si="30"/>
        <v>355.8923665594974</v>
      </c>
      <c r="O47" s="78">
        <f>O45</f>
        <v>462.67962611697385</v>
      </c>
      <c r="P47" s="79"/>
      <c r="AR47" s="80"/>
    </row>
    <row r="48" spans="1:44" s="55" customFormat="1" ht="12">
      <c r="A48" s="56"/>
      <c r="B48" s="33" t="s">
        <v>64</v>
      </c>
      <c r="C48" s="82">
        <f>SQRT(C45*PI()/2/((upperfreq+lowerfreq)*500))*wg/wo</f>
        <v>0.5148347333887533</v>
      </c>
      <c r="D48" s="83">
        <f>IF(D45&gt;0,PI()*D45*wg*wg/((upperfreq+lowerfreq)*1000*wo*wo),"")</f>
        <v>0.20387969488470556</v>
      </c>
      <c r="E48" s="83">
        <f>IF(E45&gt;0,PI()*E45*wg*wg/((upperfreq+lowerfreq)*1000*wo*wo),"")</f>
        <v>0.13865426069079853</v>
      </c>
      <c r="F48" s="83">
        <f>IF(N=3,$O$46,PI()*F45*wg*wg/((upperfreq+lowerfreq)*1000*wo*wo))</f>
        <v>0.12676168510546898</v>
      </c>
      <c r="G48" s="83">
        <f>IF(N=4,$O$46,PI()*G45*wg*wg/((upperfreq+lowerfreq)*1000*wo*wo))</f>
        <v>0.12274069479315666</v>
      </c>
      <c r="H48" s="83">
        <f>IF(N=5,$O$46,PI()*H45*wg*wg/((upperfreq+lowerfreq)*1000*wo*wo))</f>
        <v>0.12115295871175026</v>
      </c>
      <c r="I48" s="83">
        <f>IF(N=6,$O$46,PI()*I45*wg*wg/((upperfreq+lowerfreq)*1000*wo*wo))</f>
        <v>0.12071598551243781</v>
      </c>
      <c r="J48" s="83">
        <f>IF(N=7,$O$46,PI()*J45*wg*wg/((upperfreq+lowerfreq)*1000*wo*wo))</f>
        <v>0.12115295871175026</v>
      </c>
      <c r="K48" s="83">
        <f>IF(N=8,$O$46,PI()*K45*wg*wg/((upperfreq+lowerfreq)*1000*wo*wo))</f>
        <v>0.1227406947931567</v>
      </c>
      <c r="L48" s="83">
        <f>IF(N=9,$O$46,PI()*L45*wg*wg/((upperfreq+lowerfreq)*1000*wo*wo))</f>
        <v>0.12676168510546898</v>
      </c>
      <c r="M48" s="83">
        <f>IF(N=10,$O$46,PI()*M45*wg*wg/((upperfreq+lowerfreq)*1000*wo*wo))</f>
        <v>0.13865426069079842</v>
      </c>
      <c r="N48" s="83">
        <f>IF(N=11,$O$46,PI()*N45*wg*wg/((upperfreq+lowerfreq)*1000*wo*wo))</f>
        <v>0.20387969488470534</v>
      </c>
      <c r="O48" s="83">
        <f>IF(N=12,$O$46,PI()*O45*wg*wg/((upperfreq+lowerfreq)*1000*wo*wo))</f>
        <v>0.5148347333887533</v>
      </c>
      <c r="P48" s="77"/>
      <c r="AR48" s="61"/>
    </row>
    <row r="49" spans="1:44" s="55" customFormat="1" ht="21.75" customHeight="1">
      <c r="A49" s="56"/>
      <c r="B49" s="34" t="s">
        <v>74</v>
      </c>
      <c r="C49" s="3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40"/>
      <c r="AR49" s="61"/>
    </row>
    <row r="50" spans="1:44" s="87" customFormat="1" ht="12">
      <c r="A50" s="84"/>
      <c r="B50" s="85" t="s">
        <v>66</v>
      </c>
      <c r="C50" s="85">
        <v>0</v>
      </c>
      <c r="D50" s="85">
        <v>1</v>
      </c>
      <c r="E50" s="85">
        <v>2</v>
      </c>
      <c r="F50" s="85">
        <v>3</v>
      </c>
      <c r="G50" s="85">
        <f>IF(N&gt;3,4,"")</f>
        <v>4</v>
      </c>
      <c r="H50" s="85">
        <f>IF(N&gt;4,5,"")</f>
        <v>5</v>
      </c>
      <c r="I50" s="85">
        <f>IF(N&gt;5,6,"")</f>
        <v>6</v>
      </c>
      <c r="J50" s="85">
        <f>IF(N&gt;6,7,"")</f>
        <v>7</v>
      </c>
      <c r="K50" s="85">
        <f>IF(N&gt;7,8,"")</f>
        <v>8</v>
      </c>
      <c r="L50" s="85">
        <f>IF(N&gt;8,9,"")</f>
        <v>9</v>
      </c>
      <c r="M50" s="85">
        <f>IF(N&gt;9,10,"")</f>
        <v>10</v>
      </c>
      <c r="N50" s="85">
        <f>IF(N&gt;10,11,"")</f>
        <v>11</v>
      </c>
      <c r="O50" s="54">
        <f>IF(N&gt;11,12,"")</f>
        <v>12</v>
      </c>
      <c r="P50" s="123"/>
      <c r="AR50" s="86"/>
    </row>
    <row r="51" spans="1:44" s="91" customFormat="1" ht="12">
      <c r="A51" s="88"/>
      <c r="B51" s="89">
        <v>0.01</v>
      </c>
      <c r="C51" s="89">
        <v>1.4579129097225973</v>
      </c>
      <c r="D51" s="89">
        <v>7.1156857364327575</v>
      </c>
      <c r="E51" s="89">
        <v>9.387992610727196</v>
      </c>
      <c r="F51" s="89">
        <v>9.900247584693046</v>
      </c>
      <c r="G51" s="89">
        <v>10.082838087059244</v>
      </c>
      <c r="H51" s="89">
        <v>10.156353305540275</v>
      </c>
      <c r="I51" s="89">
        <v>10.176730930997522</v>
      </c>
      <c r="J51" s="89">
        <v>10.156353305540275</v>
      </c>
      <c r="K51" s="89">
        <v>10.082838087059237</v>
      </c>
      <c r="L51" s="89">
        <v>9.900247584693046</v>
      </c>
      <c r="M51" s="89">
        <v>9.3879926107272</v>
      </c>
      <c r="N51" s="89">
        <v>7.115685736432759</v>
      </c>
      <c r="O51" s="89">
        <v>1.4579129097225973</v>
      </c>
      <c r="P51" s="123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</row>
    <row r="52" spans="1:44" s="92" customFormat="1" ht="12">
      <c r="A52" s="53"/>
      <c r="B52" s="34" t="s">
        <v>46</v>
      </c>
      <c r="C52" s="34">
        <f>C51</f>
        <v>1.4579129097225973</v>
      </c>
      <c r="D52" s="34">
        <f>D51</f>
        <v>7.1156857364327575</v>
      </c>
      <c r="E52" s="34">
        <f>E51</f>
        <v>9.387992610727196</v>
      </c>
      <c r="F52" s="34">
        <f>F51</f>
        <v>9.900247584693046</v>
      </c>
      <c r="G52" s="34">
        <f>IF(N&gt;3,G51,"")</f>
        <v>10.082838087059244</v>
      </c>
      <c r="H52" s="34">
        <f>IF(N&gt;4,H51,"")</f>
        <v>10.156353305540275</v>
      </c>
      <c r="I52" s="34">
        <f>IF(N&gt;5,I51,"")</f>
        <v>10.176730930997522</v>
      </c>
      <c r="J52" s="34">
        <f>IF(N&gt;6,J51,"")</f>
        <v>10.156353305540275</v>
      </c>
      <c r="K52" s="34">
        <f>IF(N&gt;7,K51,"")</f>
        <v>10.082838087059237</v>
      </c>
      <c r="L52" s="34">
        <f>IF(N&gt;8,L51,"")</f>
        <v>9.900247584693046</v>
      </c>
      <c r="M52" s="34">
        <f>IF(N&gt;9,M51,"")</f>
        <v>9.3879926107272</v>
      </c>
      <c r="N52" s="34">
        <f>IF(N&gt;10,N51,"")</f>
        <v>7.115685736432759</v>
      </c>
      <c r="O52" s="34">
        <f>IF(N&gt;11,O51,"")</f>
        <v>1.4579129097225973</v>
      </c>
      <c r="P52" s="45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</row>
    <row r="53" spans="1:44" s="55" customFormat="1" ht="12">
      <c r="A53" s="56"/>
      <c r="B53" s="33" t="s">
        <v>58</v>
      </c>
      <c r="C53" s="35">
        <f>-a*(PI()*C51/a)^2/(wg*(1+0.4583*(PI()*C51/a)^2))</f>
        <v>-0.004098554046618525</v>
      </c>
      <c r="D53" s="35">
        <f>-a*(PI()*D51/a)^2/(wg*(1+0.4583*(PI()*D51/a)^2))</f>
        <v>-0.09170727508310211</v>
      </c>
      <c r="E53" s="35">
        <f>-a*(PI()*E51/a)^2/(wg*(1+0.4583*(PI()*E51/a)^2))</f>
        <v>-0.15247479117111504</v>
      </c>
      <c r="F53" s="35">
        <f>-a*(PI()*F51/a)^2/(wg*(1+0.4583*(PI()*F51/a)^2))</f>
        <v>-0.16758900958053027</v>
      </c>
      <c r="G53" s="35">
        <f aca="true" t="shared" si="31" ref="G53:N53">-a*(PI()*G51/a)^2/(wg*(1+0.4583*(PI()*G51/a)^2))</f>
        <v>-0.17308164138659626</v>
      </c>
      <c r="H53" s="35">
        <f t="shared" si="31"/>
        <v>-0.1753079364193273</v>
      </c>
      <c r="I53" s="35">
        <f t="shared" si="31"/>
        <v>-0.17592652009180984</v>
      </c>
      <c r="J53" s="35">
        <f t="shared" si="31"/>
        <v>-0.1753079364193273</v>
      </c>
      <c r="K53" s="35">
        <f t="shared" si="31"/>
        <v>-0.1730816413865961</v>
      </c>
      <c r="L53" s="35">
        <f t="shared" si="31"/>
        <v>-0.16758900958053027</v>
      </c>
      <c r="M53" s="35">
        <f t="shared" si="31"/>
        <v>-0.15247479117111506</v>
      </c>
      <c r="N53" s="35">
        <f t="shared" si="31"/>
        <v>-0.09170727508310217</v>
      </c>
      <c r="O53" s="35">
        <f>-a*(PI()*O51/a)^2/(wg*(1+0.4583*(PI()*O51/a)^2))</f>
        <v>-0.004098554046618525</v>
      </c>
      <c r="P53" s="36"/>
      <c r="Q53" s="67">
        <f aca="true" t="shared" si="32" ref="Q53:Q62">SINH(BETA/(2*Q35))</f>
        <v>1.4917817292743587</v>
      </c>
      <c r="R53" s="67">
        <f aca="true" t="shared" si="33" ref="R53:R62">SIN(PI()*(-0.5)/$Q35)</f>
        <v>-0.49999999999999994</v>
      </c>
      <c r="S53" s="67">
        <f aca="true" t="shared" si="34" ref="S53:S62">SIN(PI()*(1-0.5)/$Q35)</f>
        <v>0.49999999999999994</v>
      </c>
      <c r="T53" s="67">
        <f aca="true" t="shared" si="35" ref="T53:T62">SIN(PI()*(2-0.5)/$Q35)</f>
        <v>1</v>
      </c>
      <c r="U53" s="67">
        <f aca="true" t="shared" si="36" ref="U53:U62">SIN(PI()*(3-0.5)/$Q35)</f>
        <v>0.49999999999999994</v>
      </c>
      <c r="V53" s="67">
        <f aca="true" t="shared" si="37" ref="V53:V62">SIN(PI()*(4-0.5)/$Q35)</f>
        <v>-0.4999999999999997</v>
      </c>
      <c r="W53" s="67">
        <f aca="true" t="shared" si="38" ref="W53:W62">SIN(PI()*(5-0.5)/$Q35)</f>
        <v>-1</v>
      </c>
      <c r="X53" s="67">
        <f aca="true" t="shared" si="39" ref="X53:X62">SIN(PI()*(6-0.5)/$Q35)</f>
        <v>-0.5000000000000004</v>
      </c>
      <c r="Y53" s="67">
        <f aca="true" t="shared" si="40" ref="Y53:Y62">SIN(PI()*(7-0.5)/$Q35)</f>
        <v>0.5</v>
      </c>
      <c r="Z53" s="67">
        <f aca="true" t="shared" si="41" ref="Z53:Z62">SIN(PI()*(8-0.5)/$Q35)</f>
        <v>1</v>
      </c>
      <c r="AA53" s="67">
        <f aca="true" t="shared" si="42" ref="AA53:AA62">SIN(PI()*(9-0.5)/$Q35)</f>
        <v>0.4999999999999998</v>
      </c>
      <c r="AB53" s="67">
        <f aca="true" t="shared" si="43" ref="AB53:AB62">SIN(PI()*(10-0.5)/$Q35)</f>
        <v>-0.49999999999999917</v>
      </c>
      <c r="AC53" s="67">
        <f aca="true" t="shared" si="44" ref="AC53:AC62">SIN(PI()*(11-0.5)/$Q35)</f>
        <v>-1</v>
      </c>
      <c r="AD53" s="67">
        <f aca="true" t="shared" si="45" ref="AD53:AD62">SIN(PI()*(12-0.5)/$Q35)</f>
        <v>-0.5000000000000014</v>
      </c>
      <c r="AE53" s="67">
        <f aca="true" t="shared" si="46" ref="AE53:AE62">$Q53*$Q53</f>
        <v>2.225412727796796</v>
      </c>
      <c r="AF53" s="67">
        <f aca="true" t="shared" si="47" ref="AF53:AF62">$Q53*$Q53+(SIN(PI()/$Q35))^2</f>
        <v>2.975412727796796</v>
      </c>
      <c r="AG53" s="67">
        <f aca="true" t="shared" si="48" ref="AG53:AG62">$Q53*$Q53+(SIN(2*PI()/$Q35))^2</f>
        <v>2.975412727796796</v>
      </c>
      <c r="AH53" s="67">
        <f aca="true" t="shared" si="49" ref="AH53:AH62">$Q53*$Q53+(SIN(3*PI()/$Q35))^2</f>
        <v>2.225412727796796</v>
      </c>
      <c r="AI53" s="67">
        <f aca="true" t="shared" si="50" ref="AI53:AI62">$Q53*$Q53+(SIN(4*PI()/$Q35))^2</f>
        <v>2.9754127277967957</v>
      </c>
      <c r="AJ53" s="67">
        <f aca="true" t="shared" si="51" ref="AJ53:AJ62">$Q53*$Q53+(SIN(5*PI()/$Q35))^2</f>
        <v>2.975412727796796</v>
      </c>
      <c r="AK53" s="67">
        <f aca="true" t="shared" si="52" ref="AK53:AK62">$Q53*$Q53+(SIN(6*PI()/$Q35))^2</f>
        <v>2.225412727796796</v>
      </c>
      <c r="AL53" s="67">
        <f aca="true" t="shared" si="53" ref="AL53:AL62">$Q53*$Q53+(SIN(7*PI()/$Q35))^2</f>
        <v>2.9754127277967957</v>
      </c>
      <c r="AM53" s="67">
        <f aca="true" t="shared" si="54" ref="AM53:AM62">$Q53*$Q53+(SIN(8*PI()/$Q35))^2</f>
        <v>2.975412727796797</v>
      </c>
      <c r="AN53" s="67">
        <f aca="true" t="shared" si="55" ref="AN53:AN62">$Q53*$Q53+(SIN(9*PI()/$Q35))^2</f>
        <v>2.225412727796796</v>
      </c>
      <c r="AO53" s="67">
        <f aca="true" t="shared" si="56" ref="AO53:AO62">$Q53*$Q53+(SIN(10*PI()/$Q35))^2</f>
        <v>2.975412727796796</v>
      </c>
      <c r="AP53" s="67">
        <f aca="true" t="shared" si="57" ref="AP53:AP62">$Q53*$Q53+(SIN(11*PI()/$Q35))^2</f>
        <v>2.975412727796797</v>
      </c>
      <c r="AQ53" s="67">
        <f aca="true" t="shared" si="58" ref="AQ53:AQ62">$Q53*$Q53+(SIN(12*PI()/$Q35))^2</f>
        <v>2.225412727796796</v>
      </c>
      <c r="AR53" s="75"/>
    </row>
    <row r="54" spans="1:44" s="55" customFormat="1" ht="12">
      <c r="A54" s="56"/>
      <c r="B54" s="33" t="s">
        <v>59</v>
      </c>
      <c r="C54" s="35">
        <f aca="true" t="shared" si="59" ref="C54:N54">-C53/2+a*((LN(4/(PI()*C51/a))-((PI()*C51/a)*SQRT((4*(a/wo)^2))/4)^2)/2-1.676+1/SQRT(9-(4*(a/wo)^2))+1/SQRT(25-(4*(a/wo)^2))+1/SQRT(49-(4*(a/wo)^2)))/wg</f>
        <v>0.696519957909853</v>
      </c>
      <c r="D54" s="35">
        <f t="shared" si="59"/>
        <v>0.20646359132168968</v>
      </c>
      <c r="E54" s="35">
        <f t="shared" si="59"/>
        <v>0.13868144252169534</v>
      </c>
      <c r="F54" s="35">
        <f t="shared" si="59"/>
        <v>0.12697044113822306</v>
      </c>
      <c r="G54" s="35">
        <f t="shared" si="59"/>
        <v>0.12304722911093748</v>
      </c>
      <c r="H54" s="35">
        <f t="shared" si="59"/>
        <v>0.12150286404376687</v>
      </c>
      <c r="I54" s="35">
        <f t="shared" si="59"/>
        <v>0.12107828961171739</v>
      </c>
      <c r="J54" s="35">
        <f t="shared" si="59"/>
        <v>0.12150286404376687</v>
      </c>
      <c r="K54" s="35">
        <f t="shared" si="59"/>
        <v>0.12304722911093761</v>
      </c>
      <c r="L54" s="35">
        <f t="shared" si="59"/>
        <v>0.12697044113822306</v>
      </c>
      <c r="M54" s="35">
        <f t="shared" si="59"/>
        <v>0.13868144252169523</v>
      </c>
      <c r="N54" s="35">
        <f t="shared" si="59"/>
        <v>0.20646359132168957</v>
      </c>
      <c r="O54" s="35">
        <f>-O53/2+a*((LN(4/(PI()*O51/a))-((PI()*O51/a)*SQRT((4*(a/wo)^2))/4)^2)/2-1.676+1/SQRT(9-(4*(a/wo)^2))+1/SQRT(25-(4*(a/wo)^2))+1/SQRT(49-(4*(a/wo)^2)))/wg</f>
        <v>0.696519957909853</v>
      </c>
      <c r="P54" s="36"/>
      <c r="Q54" s="67">
        <f t="shared" si="32"/>
        <v>1.0160067666409711</v>
      </c>
      <c r="R54" s="67">
        <f t="shared" si="33"/>
        <v>-0.3826834323650898</v>
      </c>
      <c r="S54" s="67">
        <f t="shared" si="34"/>
        <v>0.3826834323650898</v>
      </c>
      <c r="T54" s="67">
        <f t="shared" si="35"/>
        <v>0.9238795325112867</v>
      </c>
      <c r="U54" s="67">
        <f t="shared" si="36"/>
        <v>0.9238795325112867</v>
      </c>
      <c r="V54" s="67">
        <f t="shared" si="37"/>
        <v>0.3826834323650899</v>
      </c>
      <c r="W54" s="67">
        <f t="shared" si="38"/>
        <v>-0.38268343236508967</v>
      </c>
      <c r="X54" s="67">
        <f t="shared" si="39"/>
        <v>-0.9238795325112865</v>
      </c>
      <c r="Y54" s="67">
        <f t="shared" si="40"/>
        <v>-0.9238795325112866</v>
      </c>
      <c r="Z54" s="67">
        <f t="shared" si="41"/>
        <v>-0.3826834323650904</v>
      </c>
      <c r="AA54" s="67">
        <f t="shared" si="42"/>
        <v>0.38268343236508995</v>
      </c>
      <c r="AB54" s="67">
        <f t="shared" si="43"/>
        <v>0.9238795325112865</v>
      </c>
      <c r="AC54" s="67">
        <f t="shared" si="44"/>
        <v>0.9238795325112867</v>
      </c>
      <c r="AD54" s="67">
        <f t="shared" si="45"/>
        <v>0.3826834323650905</v>
      </c>
      <c r="AE54" s="67">
        <f t="shared" si="46"/>
        <v>1.0322697498602407</v>
      </c>
      <c r="AF54" s="67">
        <f t="shared" si="47"/>
        <v>1.5322697498602404</v>
      </c>
      <c r="AG54" s="67">
        <f t="shared" si="48"/>
        <v>2.032269749860241</v>
      </c>
      <c r="AH54" s="67">
        <f t="shared" si="49"/>
        <v>1.532269749860241</v>
      </c>
      <c r="AI54" s="67">
        <f t="shared" si="50"/>
        <v>1.0322697498602407</v>
      </c>
      <c r="AJ54" s="67">
        <f t="shared" si="51"/>
        <v>1.5322697498602404</v>
      </c>
      <c r="AK54" s="67">
        <f t="shared" si="52"/>
        <v>2.032269749860241</v>
      </c>
      <c r="AL54" s="67">
        <f t="shared" si="53"/>
        <v>1.532269749860241</v>
      </c>
      <c r="AM54" s="67">
        <f t="shared" si="54"/>
        <v>1.0322697498602407</v>
      </c>
      <c r="AN54" s="67">
        <f t="shared" si="55"/>
        <v>1.5322697498602404</v>
      </c>
      <c r="AO54" s="67">
        <f t="shared" si="56"/>
        <v>2.032269749860241</v>
      </c>
      <c r="AP54" s="67">
        <f t="shared" si="57"/>
        <v>1.5322697498602418</v>
      </c>
      <c r="AQ54" s="67">
        <f t="shared" si="58"/>
        <v>1.0322697498602407</v>
      </c>
      <c r="AR54" s="61"/>
    </row>
    <row r="55" spans="1:44" s="55" customFormat="1" ht="12">
      <c r="A55" s="56"/>
      <c r="B55" s="33" t="s">
        <v>62</v>
      </c>
      <c r="C55" s="35">
        <f aca="true" t="shared" si="60" ref="C55:O55">-TAN((-ATAN(2*C54+C53)-ATAN(C53))/2+ATAN(C53))</f>
        <v>0.5148347562232555</v>
      </c>
      <c r="D55" s="35">
        <f t="shared" si="60"/>
        <v>0.20388705990535444</v>
      </c>
      <c r="E55" s="35">
        <f t="shared" si="60"/>
        <v>0.1386555600966435</v>
      </c>
      <c r="F55" s="35">
        <f t="shared" si="60"/>
        <v>0.1267646091919515</v>
      </c>
      <c r="G55" s="35">
        <f t="shared" si="60"/>
        <v>0.12274451725069668</v>
      </c>
      <c r="H55" s="35">
        <f t="shared" si="60"/>
        <v>0.12115720409855403</v>
      </c>
      <c r="I55" s="35">
        <f t="shared" si="60"/>
        <v>0.12072035493415843</v>
      </c>
      <c r="J55" s="35">
        <f t="shared" si="60"/>
        <v>0.12115720409855403</v>
      </c>
      <c r="K55" s="35">
        <f t="shared" si="60"/>
        <v>0.12274451725069682</v>
      </c>
      <c r="L55" s="35">
        <f t="shared" si="60"/>
        <v>0.1267646091919515</v>
      </c>
      <c r="M55" s="35">
        <f t="shared" si="60"/>
        <v>0.1386555600966434</v>
      </c>
      <c r="N55" s="35">
        <f t="shared" si="60"/>
        <v>0.20388705990535433</v>
      </c>
      <c r="O55" s="35">
        <f t="shared" si="60"/>
        <v>0.5148347562232555</v>
      </c>
      <c r="P55" s="36"/>
      <c r="Q55" s="67">
        <f t="shared" si="32"/>
        <v>0.7763797685635538</v>
      </c>
      <c r="R55" s="67">
        <f t="shared" si="33"/>
        <v>-0.3090169943749474</v>
      </c>
      <c r="S55" s="67">
        <f t="shared" si="34"/>
        <v>0.3090169943749474</v>
      </c>
      <c r="T55" s="67">
        <f t="shared" si="35"/>
        <v>0.8090169943749475</v>
      </c>
      <c r="U55" s="67">
        <f t="shared" si="36"/>
        <v>1</v>
      </c>
      <c r="V55" s="67">
        <f t="shared" si="37"/>
        <v>0.8090169943749475</v>
      </c>
      <c r="W55" s="67">
        <f t="shared" si="38"/>
        <v>0.3090169943749475</v>
      </c>
      <c r="X55" s="67">
        <f t="shared" si="39"/>
        <v>-0.3090169943749469</v>
      </c>
      <c r="Y55" s="67">
        <f t="shared" si="40"/>
        <v>-0.8090169943749473</v>
      </c>
      <c r="Z55" s="67">
        <f t="shared" si="41"/>
        <v>-1</v>
      </c>
      <c r="AA55" s="67">
        <f t="shared" si="42"/>
        <v>-0.8090169943749476</v>
      </c>
      <c r="AB55" s="67">
        <f t="shared" si="43"/>
        <v>-0.3090169943749476</v>
      </c>
      <c r="AC55" s="67">
        <f t="shared" si="44"/>
        <v>0.3090169943749472</v>
      </c>
      <c r="AD55" s="67">
        <f t="shared" si="45"/>
        <v>0.8090169943749472</v>
      </c>
      <c r="AE55" s="67">
        <f t="shared" si="46"/>
        <v>0.6027655450347974</v>
      </c>
      <c r="AF55" s="67">
        <f t="shared" si="47"/>
        <v>0.9482570478473237</v>
      </c>
      <c r="AG55" s="67">
        <f t="shared" si="48"/>
        <v>1.507274042222271</v>
      </c>
      <c r="AH55" s="67">
        <f t="shared" si="49"/>
        <v>1.5072740422222712</v>
      </c>
      <c r="AI55" s="67">
        <f t="shared" si="50"/>
        <v>0.9482570478473238</v>
      </c>
      <c r="AJ55" s="67">
        <f t="shared" si="51"/>
        <v>0.6027655450347974</v>
      </c>
      <c r="AK55" s="67">
        <f t="shared" si="52"/>
        <v>0.9482570478473236</v>
      </c>
      <c r="AL55" s="67">
        <f t="shared" si="53"/>
        <v>1.507274042222271</v>
      </c>
      <c r="AM55" s="67">
        <f t="shared" si="54"/>
        <v>1.5072740422222712</v>
      </c>
      <c r="AN55" s="67">
        <f t="shared" si="55"/>
        <v>0.948257047847324</v>
      </c>
      <c r="AO55" s="67">
        <f t="shared" si="56"/>
        <v>0.6027655450347974</v>
      </c>
      <c r="AP55" s="67">
        <f t="shared" si="57"/>
        <v>0.9482570478473225</v>
      </c>
      <c r="AQ55" s="67">
        <f t="shared" si="58"/>
        <v>1.507274042222271</v>
      </c>
      <c r="AR55" s="61"/>
    </row>
    <row r="56" spans="1:44" s="96" customFormat="1" ht="12">
      <c r="A56" s="94"/>
      <c r="B56" s="33" t="s">
        <v>61</v>
      </c>
      <c r="C56" s="37">
        <f aca="true" t="shared" si="61" ref="C56:O56">100*(C55-C48)</f>
        <v>2.283450217799299E-06</v>
      </c>
      <c r="D56" s="37">
        <f t="shared" si="61"/>
        <v>0.0007365020648880671</v>
      </c>
      <c r="E56" s="37">
        <f t="shared" si="61"/>
        <v>0.0001299405844978896</v>
      </c>
      <c r="F56" s="37">
        <f t="shared" si="61"/>
        <v>0.0002924086482530841</v>
      </c>
      <c r="G56" s="37">
        <f t="shared" si="61"/>
        <v>0.00038224575400203076</v>
      </c>
      <c r="H56" s="37">
        <f t="shared" si="61"/>
        <v>0.0004245386803769513</v>
      </c>
      <c r="I56" s="37">
        <f t="shared" si="61"/>
        <v>0.0004369421720620825</v>
      </c>
      <c r="J56" s="37">
        <f t="shared" si="61"/>
        <v>0.0004245386803769513</v>
      </c>
      <c r="K56" s="37">
        <f t="shared" si="61"/>
        <v>0.0003822457540117452</v>
      </c>
      <c r="L56" s="37">
        <f t="shared" si="61"/>
        <v>0.0002924086482530841</v>
      </c>
      <c r="M56" s="37">
        <f t="shared" si="61"/>
        <v>0.0001299405844978896</v>
      </c>
      <c r="N56" s="37">
        <f t="shared" si="61"/>
        <v>0.0007365020648991694</v>
      </c>
      <c r="O56" s="37">
        <f t="shared" si="61"/>
        <v>2.283450217799299E-06</v>
      </c>
      <c r="P56" s="38"/>
      <c r="Q56" s="97">
        <f t="shared" si="32"/>
        <v>0.6308499856746461</v>
      </c>
      <c r="R56" s="97">
        <f t="shared" si="33"/>
        <v>-0.25881904510252074</v>
      </c>
      <c r="S56" s="97">
        <f t="shared" si="34"/>
        <v>0.25881904510252074</v>
      </c>
      <c r="T56" s="97">
        <f t="shared" si="35"/>
        <v>0.7071067811865475</v>
      </c>
      <c r="U56" s="97">
        <f t="shared" si="36"/>
        <v>0.9659258262890683</v>
      </c>
      <c r="V56" s="97">
        <f t="shared" si="37"/>
        <v>0.9659258262890683</v>
      </c>
      <c r="W56" s="97">
        <f t="shared" si="38"/>
        <v>0.7071067811865476</v>
      </c>
      <c r="X56" s="97">
        <f t="shared" si="39"/>
        <v>0.258819045102521</v>
      </c>
      <c r="Y56" s="97">
        <f t="shared" si="40"/>
        <v>-0.2588190451025208</v>
      </c>
      <c r="Z56" s="97">
        <f t="shared" si="41"/>
        <v>-0.7071067811865471</v>
      </c>
      <c r="AA56" s="97">
        <f t="shared" si="42"/>
        <v>-0.9659258262890683</v>
      </c>
      <c r="AB56" s="97">
        <f t="shared" si="43"/>
        <v>-0.9659258262890684</v>
      </c>
      <c r="AC56" s="97">
        <f t="shared" si="44"/>
        <v>-0.7071067811865477</v>
      </c>
      <c r="AD56" s="97">
        <f t="shared" si="45"/>
        <v>-0.25881904510252157</v>
      </c>
      <c r="AE56" s="97">
        <f t="shared" si="46"/>
        <v>0.39797170442570123</v>
      </c>
      <c r="AF56" s="97">
        <f t="shared" si="47"/>
        <v>0.6479717044257012</v>
      </c>
      <c r="AG56" s="97">
        <f t="shared" si="48"/>
        <v>1.1479717044257012</v>
      </c>
      <c r="AH56" s="97">
        <f t="shared" si="49"/>
        <v>1.3979717044257012</v>
      </c>
      <c r="AI56" s="97">
        <f t="shared" si="50"/>
        <v>1.1479717044257014</v>
      </c>
      <c r="AJ56" s="97">
        <f t="shared" si="51"/>
        <v>0.6479717044257012</v>
      </c>
      <c r="AK56" s="97">
        <f t="shared" si="52"/>
        <v>0.39797170442570123</v>
      </c>
      <c r="AL56" s="97">
        <f t="shared" si="53"/>
        <v>0.647971704425701</v>
      </c>
      <c r="AM56" s="97">
        <f t="shared" si="54"/>
        <v>1.1479717044257007</v>
      </c>
      <c r="AN56" s="97">
        <f t="shared" si="55"/>
        <v>1.3979717044257012</v>
      </c>
      <c r="AO56" s="97">
        <f t="shared" si="56"/>
        <v>1.1479717044257012</v>
      </c>
      <c r="AP56" s="97">
        <f t="shared" si="57"/>
        <v>0.6479717044257016</v>
      </c>
      <c r="AQ56" s="97">
        <f t="shared" si="58"/>
        <v>0.39797170442570123</v>
      </c>
      <c r="AR56" s="95"/>
    </row>
    <row r="57" spans="1:44" s="55" customFormat="1" ht="12">
      <c r="A57" s="56"/>
      <c r="B57" s="33"/>
      <c r="C57" s="39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40"/>
      <c r="Q57" s="67">
        <f t="shared" si="32"/>
        <v>0.5324929138693371</v>
      </c>
      <c r="R57" s="67">
        <f t="shared" si="33"/>
        <v>-0.2225209339563144</v>
      </c>
      <c r="S57" s="67">
        <f t="shared" si="34"/>
        <v>0.2225209339563144</v>
      </c>
      <c r="T57" s="67">
        <f t="shared" si="35"/>
        <v>0.6234898018587335</v>
      </c>
      <c r="U57" s="67">
        <f t="shared" si="36"/>
        <v>0.9009688679024191</v>
      </c>
      <c r="V57" s="67">
        <f t="shared" si="37"/>
        <v>1</v>
      </c>
      <c r="W57" s="67">
        <f t="shared" si="38"/>
        <v>0.9009688679024191</v>
      </c>
      <c r="X57" s="67">
        <f t="shared" si="39"/>
        <v>0.6234898018587339</v>
      </c>
      <c r="Y57" s="67">
        <f t="shared" si="40"/>
        <v>0.2225209339563141</v>
      </c>
      <c r="Z57" s="67">
        <f t="shared" si="41"/>
        <v>-0.22252093395631384</v>
      </c>
      <c r="AA57" s="67">
        <f t="shared" si="42"/>
        <v>-0.6234898018587338</v>
      </c>
      <c r="AB57" s="67">
        <f t="shared" si="43"/>
        <v>-0.900968867902419</v>
      </c>
      <c r="AC57" s="67">
        <f t="shared" si="44"/>
        <v>-1</v>
      </c>
      <c r="AD57" s="67">
        <f t="shared" si="45"/>
        <v>-0.9009688679024193</v>
      </c>
      <c r="AE57" s="67">
        <f t="shared" si="46"/>
        <v>0.2835487033210572</v>
      </c>
      <c r="AF57" s="67">
        <f t="shared" si="47"/>
        <v>0.4718038023916904</v>
      </c>
      <c r="AG57" s="67">
        <f t="shared" si="48"/>
        <v>0.8948091702992144</v>
      </c>
      <c r="AH57" s="67">
        <f t="shared" si="49"/>
        <v>1.2340331372722668</v>
      </c>
      <c r="AI57" s="67">
        <f t="shared" si="50"/>
        <v>1.2340331372722668</v>
      </c>
      <c r="AJ57" s="67">
        <f t="shared" si="51"/>
        <v>0.8948091702992146</v>
      </c>
      <c r="AK57" s="67">
        <f t="shared" si="52"/>
        <v>0.4718038023916905</v>
      </c>
      <c r="AL57" s="67">
        <f t="shared" si="53"/>
        <v>0.2835487033210572</v>
      </c>
      <c r="AM57" s="67">
        <f t="shared" si="54"/>
        <v>0.47180380239169034</v>
      </c>
      <c r="AN57" s="67">
        <f t="shared" si="55"/>
        <v>0.8948091702992143</v>
      </c>
      <c r="AO57" s="67">
        <f t="shared" si="56"/>
        <v>1.2340331372722668</v>
      </c>
      <c r="AP57" s="67">
        <f t="shared" si="57"/>
        <v>1.2340331372722673</v>
      </c>
      <c r="AQ57" s="67">
        <f t="shared" si="58"/>
        <v>0.8948091702992146</v>
      </c>
      <c r="AR57" s="61"/>
    </row>
    <row r="58" spans="1:44" s="55" customFormat="1" ht="12">
      <c r="A58" s="56"/>
      <c r="B58" s="33" t="s">
        <v>60</v>
      </c>
      <c r="C58" s="41">
        <f>-ATAN(2*C54+C53)-ATAN(C53)</f>
        <v>-0.9426926571479177</v>
      </c>
      <c r="D58" s="41">
        <f>-ATAN(2*D54+D53)-ATAN(D53)</f>
        <v>-0.21935767311642562</v>
      </c>
      <c r="E58" s="41">
        <f>-ATAN(2*E54+E53)-ATAN(E53)</f>
        <v>0.027064589634244865</v>
      </c>
      <c r="F58" s="41">
        <f>-ATAN(2*F54+F53)-ATAN(F53)</f>
        <v>0.07990776160425672</v>
      </c>
      <c r="G58" s="41">
        <f aca="true" t="shared" si="62" ref="G58:O58">-ATAN(2*G54+G53)-ATAN(G53)</f>
        <v>0.09850021787259179</v>
      </c>
      <c r="H58" s="41">
        <f t="shared" si="62"/>
        <v>0.10594978125039721</v>
      </c>
      <c r="I58" s="41">
        <f t="shared" si="62"/>
        <v>0.10801103780456472</v>
      </c>
      <c r="J58" s="41">
        <f t="shared" si="62"/>
        <v>0.10594978125039721</v>
      </c>
      <c r="K58" s="41">
        <f t="shared" si="62"/>
        <v>0.09850021787259118</v>
      </c>
      <c r="L58" s="41">
        <f t="shared" si="62"/>
        <v>0.07990776160425672</v>
      </c>
      <c r="M58" s="41">
        <f t="shared" si="62"/>
        <v>0.027064589634245143</v>
      </c>
      <c r="N58" s="41">
        <f t="shared" si="62"/>
        <v>-0.2193576731164253</v>
      </c>
      <c r="O58" s="41">
        <f t="shared" si="62"/>
        <v>-0.9426926571479177</v>
      </c>
      <c r="P58" s="42"/>
      <c r="Q58" s="67">
        <f t="shared" si="32"/>
        <v>0.46129003262677526</v>
      </c>
      <c r="R58" s="67">
        <f t="shared" si="33"/>
        <v>-0.19509032201612825</v>
      </c>
      <c r="S58" s="67">
        <f t="shared" si="34"/>
        <v>0.19509032201612825</v>
      </c>
      <c r="T58" s="67">
        <f t="shared" si="35"/>
        <v>0.5555702330196022</v>
      </c>
      <c r="U58" s="67">
        <f t="shared" si="36"/>
        <v>0.8314696123025452</v>
      </c>
      <c r="V58" s="67">
        <f t="shared" si="37"/>
        <v>0.9807852804032304</v>
      </c>
      <c r="W58" s="67">
        <f t="shared" si="38"/>
        <v>0.9807852804032304</v>
      </c>
      <c r="X58" s="67">
        <f t="shared" si="39"/>
        <v>0.8314696123025455</v>
      </c>
      <c r="Y58" s="67">
        <f t="shared" si="40"/>
        <v>0.5555702330196022</v>
      </c>
      <c r="Z58" s="67">
        <f t="shared" si="41"/>
        <v>0.1950903220161286</v>
      </c>
      <c r="AA58" s="67">
        <f t="shared" si="42"/>
        <v>-0.19509032201612836</v>
      </c>
      <c r="AB58" s="67">
        <f t="shared" si="43"/>
        <v>-0.555570233019602</v>
      </c>
      <c r="AC58" s="67">
        <f t="shared" si="44"/>
        <v>-0.8314696123025452</v>
      </c>
      <c r="AD58" s="67">
        <f t="shared" si="45"/>
        <v>-0.9807852804032303</v>
      </c>
      <c r="AE58" s="67">
        <f t="shared" si="46"/>
        <v>0.2127884942008114</v>
      </c>
      <c r="AF58" s="67">
        <f t="shared" si="47"/>
        <v>0.35923510360753763</v>
      </c>
      <c r="AG58" s="67">
        <f t="shared" si="48"/>
        <v>0.7127884942008113</v>
      </c>
      <c r="AH58" s="67">
        <f t="shared" si="49"/>
        <v>1.066341884794085</v>
      </c>
      <c r="AI58" s="67">
        <f t="shared" si="50"/>
        <v>1.2127884942008114</v>
      </c>
      <c r="AJ58" s="67">
        <f t="shared" si="51"/>
        <v>1.066341884794085</v>
      </c>
      <c r="AK58" s="67">
        <f t="shared" si="52"/>
        <v>0.7127884942008115</v>
      </c>
      <c r="AL58" s="67">
        <f t="shared" si="53"/>
        <v>0.35923510360753774</v>
      </c>
      <c r="AM58" s="67">
        <f t="shared" si="54"/>
        <v>0.2127884942008114</v>
      </c>
      <c r="AN58" s="67">
        <f t="shared" si="55"/>
        <v>0.3592351036075375</v>
      </c>
      <c r="AO58" s="67">
        <f t="shared" si="56"/>
        <v>0.7127884942008113</v>
      </c>
      <c r="AP58" s="67">
        <f t="shared" si="57"/>
        <v>1.0663418847940846</v>
      </c>
      <c r="AQ58" s="67">
        <f t="shared" si="58"/>
        <v>1.2127884942008114</v>
      </c>
      <c r="AR58" s="61"/>
    </row>
    <row r="59" spans="1:44" s="102" customFormat="1" ht="12">
      <c r="A59" s="98"/>
      <c r="B59" s="34" t="s">
        <v>44</v>
      </c>
      <c r="C59" s="99">
        <f>wg/2+(C58+D58)*wg/(4*PI())</f>
        <v>35.7477465083102</v>
      </c>
      <c r="D59" s="99">
        <f>wg/2+(D58+E58)*wg/(4*PI())</f>
        <v>42.51707330575526</v>
      </c>
      <c r="E59" s="99">
        <f>wg/2+(E58+F58)*wg/(4*PI())</f>
        <v>44.606076026308095</v>
      </c>
      <c r="F59" s="99">
        <f>IF(N&gt;3,wg/2+(F58+G58)*wg/(4*PI()),"")</f>
        <v>45.10472773953916</v>
      </c>
      <c r="G59" s="99">
        <f>IF(N&gt;4,wg/2+(G58+H58)*wg/(4*PI()),"")</f>
        <v>45.28651234804316</v>
      </c>
      <c r="H59" s="99">
        <f>IF(N&gt;5,wg/2+(H58+I58)*wg/(4*PI()),"")</f>
        <v>45.352902002201255</v>
      </c>
      <c r="I59" s="99">
        <f>IF(N&gt;6,wg/2+(I58+J58)*wg/(4*PI()),"")</f>
        <v>45.352902002201255</v>
      </c>
      <c r="J59" s="99">
        <f>IF(N&gt;7,wg/2+(J58+K58)*wg/(4*PI()),"")</f>
        <v>45.28651234804315</v>
      </c>
      <c r="K59" s="99">
        <f>IF(N&gt;8,wg/2+(K58+L58)*wg/(4*PI()),"")</f>
        <v>45.10472773953916</v>
      </c>
      <c r="L59" s="99">
        <f>IF(N&gt;9,wg/2+(L58+M58)*wg/(4*PI()),"")</f>
        <v>44.606076026308095</v>
      </c>
      <c r="M59" s="99">
        <f>IF(N&gt;10,wg/2+(M58+N58)*wg/(4*PI()),"")</f>
        <v>42.51707330575527</v>
      </c>
      <c r="N59" s="99">
        <f>IF(N&gt;11,wg/2+(N58+O58)*wg/(4*PI()),"")</f>
        <v>35.7477465083102</v>
      </c>
      <c r="O59" s="124"/>
      <c r="P59" s="100"/>
      <c r="Q59" s="101">
        <f t="shared" si="32"/>
        <v>0.40722152456313265</v>
      </c>
      <c r="R59" s="101">
        <f t="shared" si="33"/>
        <v>-0.17364817766693033</v>
      </c>
      <c r="S59" s="101">
        <f t="shared" si="34"/>
        <v>0.17364817766693033</v>
      </c>
      <c r="T59" s="101">
        <f t="shared" si="35"/>
        <v>0.49999999999999994</v>
      </c>
      <c r="U59" s="101">
        <f t="shared" si="36"/>
        <v>0.766044443118978</v>
      </c>
      <c r="V59" s="101">
        <f t="shared" si="37"/>
        <v>0.9396926207859083</v>
      </c>
      <c r="W59" s="101">
        <f t="shared" si="38"/>
        <v>1</v>
      </c>
      <c r="X59" s="101">
        <f t="shared" si="39"/>
        <v>0.9396926207859084</v>
      </c>
      <c r="Y59" s="101">
        <f t="shared" si="40"/>
        <v>0.766044443118978</v>
      </c>
      <c r="Z59" s="101">
        <f t="shared" si="41"/>
        <v>0.5000000000000003</v>
      </c>
      <c r="AA59" s="101">
        <f t="shared" si="42"/>
        <v>0.17364817766693028</v>
      </c>
      <c r="AB59" s="101">
        <f t="shared" si="43"/>
        <v>-0.17364817766693003</v>
      </c>
      <c r="AC59" s="101">
        <f t="shared" si="44"/>
        <v>-0.5000000000000001</v>
      </c>
      <c r="AD59" s="101">
        <f t="shared" si="45"/>
        <v>-0.7660444431189779</v>
      </c>
      <c r="AE59" s="101">
        <f t="shared" si="46"/>
        <v>0.16582937006752205</v>
      </c>
      <c r="AF59" s="101">
        <f t="shared" si="47"/>
        <v>0.282807148508033</v>
      </c>
      <c r="AG59" s="101">
        <f t="shared" si="48"/>
        <v>0.5790052812340568</v>
      </c>
      <c r="AH59" s="101">
        <f t="shared" si="49"/>
        <v>0.915829370067522</v>
      </c>
      <c r="AI59" s="101">
        <f t="shared" si="50"/>
        <v>1.1356756804604762</v>
      </c>
      <c r="AJ59" s="101">
        <f t="shared" si="51"/>
        <v>1.1356756804604762</v>
      </c>
      <c r="AK59" s="101">
        <f t="shared" si="52"/>
        <v>0.9158293700675222</v>
      </c>
      <c r="AL59" s="101">
        <f t="shared" si="53"/>
        <v>0.579005281234057</v>
      </c>
      <c r="AM59" s="101">
        <f t="shared" si="54"/>
        <v>0.2828071485080331</v>
      </c>
      <c r="AN59" s="101">
        <f t="shared" si="55"/>
        <v>0.16582937006752205</v>
      </c>
      <c r="AO59" s="101">
        <f t="shared" si="56"/>
        <v>0.28280714850803296</v>
      </c>
      <c r="AP59" s="101">
        <f t="shared" si="57"/>
        <v>0.5790052812340564</v>
      </c>
      <c r="AQ59" s="101">
        <f t="shared" si="58"/>
        <v>0.9158293700675216</v>
      </c>
      <c r="AR59" s="101"/>
    </row>
    <row r="60" spans="1:44" s="55" customFormat="1" ht="12">
      <c r="A60" s="57"/>
      <c r="B60" s="58"/>
      <c r="C60" s="39"/>
      <c r="D60" s="58"/>
      <c r="E60" s="58"/>
      <c r="F60" s="58"/>
      <c r="G60" s="58"/>
      <c r="H60" s="58"/>
      <c r="I60" s="58"/>
      <c r="J60" s="58"/>
      <c r="K60" s="58"/>
      <c r="L60" s="58"/>
      <c r="M60" s="65" t="s">
        <v>61</v>
      </c>
      <c r="N60" s="58"/>
      <c r="O60" s="58"/>
      <c r="P60" s="69"/>
      <c r="Q60" s="67">
        <f t="shared" si="32"/>
        <v>0.3646942347743969</v>
      </c>
      <c r="R60" s="67">
        <f t="shared" si="33"/>
        <v>-0.15643446504023087</v>
      </c>
      <c r="S60" s="67">
        <f t="shared" si="34"/>
        <v>0.15643446504023087</v>
      </c>
      <c r="T60" s="67">
        <f t="shared" si="35"/>
        <v>0.45399049973954675</v>
      </c>
      <c r="U60" s="67">
        <f t="shared" si="36"/>
        <v>0.7071067811865475</v>
      </c>
      <c r="V60" s="67">
        <f t="shared" si="37"/>
        <v>0.8910065241883678</v>
      </c>
      <c r="W60" s="67">
        <f t="shared" si="38"/>
        <v>0.9876883405951378</v>
      </c>
      <c r="X60" s="67">
        <f t="shared" si="39"/>
        <v>0.9876883405951378</v>
      </c>
      <c r="Y60" s="67">
        <f t="shared" si="40"/>
        <v>0.8910065241883679</v>
      </c>
      <c r="Z60" s="67">
        <f t="shared" si="41"/>
        <v>0.7071067811865476</v>
      </c>
      <c r="AA60" s="67">
        <f t="shared" si="42"/>
        <v>0.45399049973954686</v>
      </c>
      <c r="AB60" s="67">
        <f t="shared" si="43"/>
        <v>0.15643446504023098</v>
      </c>
      <c r="AC60" s="67">
        <f t="shared" si="44"/>
        <v>-0.15643446504023073</v>
      </c>
      <c r="AD60" s="67">
        <f t="shared" si="45"/>
        <v>-0.4539904997395467</v>
      </c>
      <c r="AE60" s="67">
        <f t="shared" si="46"/>
        <v>0.1330018848776829</v>
      </c>
      <c r="AF60" s="67">
        <f t="shared" si="47"/>
        <v>0.2284933876902092</v>
      </c>
      <c r="AG60" s="67">
        <f t="shared" si="48"/>
        <v>0.4784933876902092</v>
      </c>
      <c r="AH60" s="67">
        <f t="shared" si="49"/>
        <v>0.7875103820651567</v>
      </c>
      <c r="AI60" s="67">
        <f t="shared" si="50"/>
        <v>1.0375103820651566</v>
      </c>
      <c r="AJ60" s="67">
        <f t="shared" si="51"/>
        <v>1.1330018848776828</v>
      </c>
      <c r="AK60" s="67">
        <f t="shared" si="52"/>
        <v>1.0375103820651568</v>
      </c>
      <c r="AL60" s="67">
        <f t="shared" si="53"/>
        <v>0.7875103820651567</v>
      </c>
      <c r="AM60" s="67">
        <f t="shared" si="54"/>
        <v>0.4784933876902093</v>
      </c>
      <c r="AN60" s="67">
        <f t="shared" si="55"/>
        <v>0.22849338769020927</v>
      </c>
      <c r="AO60" s="67">
        <f t="shared" si="56"/>
        <v>0.1330018848776829</v>
      </c>
      <c r="AP60" s="67">
        <f t="shared" si="57"/>
        <v>0.22849338769020888</v>
      </c>
      <c r="AQ60" s="67">
        <f t="shared" si="58"/>
        <v>0.4784933876902091</v>
      </c>
      <c r="AR60" s="61"/>
    </row>
    <row r="61" spans="1:44" s="55" customFormat="1" ht="12.75">
      <c r="A61" s="70"/>
      <c r="B61" s="33"/>
      <c r="C61" s="39"/>
      <c r="D61" s="33"/>
      <c r="E61" s="33"/>
      <c r="F61" s="33"/>
      <c r="G61" s="103"/>
      <c r="H61" s="33"/>
      <c r="I61" s="33"/>
      <c r="J61" s="33"/>
      <c r="K61" s="33"/>
      <c r="L61" s="114">
        <f>IF(M61&gt;0.1,"Not Solved","")</f>
      </c>
      <c r="M61" s="115">
        <f>C56^2+D56^2+E56^2+F56^2+G56^2+C70^2+D70^2+E70^2+F70^2+G70^2</f>
        <v>1.0747741021219612E-06</v>
      </c>
      <c r="N61" s="33"/>
      <c r="O61" s="33"/>
      <c r="P61" s="40"/>
      <c r="Q61" s="67">
        <f t="shared" si="32"/>
        <v>0.3303291771587307</v>
      </c>
      <c r="R61" s="67">
        <f t="shared" si="33"/>
        <v>-0.14231483827328514</v>
      </c>
      <c r="S61" s="67">
        <f t="shared" si="34"/>
        <v>0.14231483827328514</v>
      </c>
      <c r="T61" s="67">
        <f t="shared" si="35"/>
        <v>0.4154150130018864</v>
      </c>
      <c r="U61" s="67">
        <f t="shared" si="36"/>
        <v>0.6548607339452851</v>
      </c>
      <c r="V61" s="67">
        <f t="shared" si="37"/>
        <v>0.8412535328311811</v>
      </c>
      <c r="W61" s="67">
        <f t="shared" si="38"/>
        <v>0.9594929736144974</v>
      </c>
      <c r="X61" s="67">
        <f t="shared" si="39"/>
        <v>1</v>
      </c>
      <c r="Y61" s="67">
        <f t="shared" si="40"/>
        <v>0.9594929736144974</v>
      </c>
      <c r="Z61" s="67">
        <f t="shared" si="41"/>
        <v>0.8412535328311814</v>
      </c>
      <c r="AA61" s="67">
        <f t="shared" si="42"/>
        <v>0.6548607339452852</v>
      </c>
      <c r="AB61" s="67">
        <f t="shared" si="43"/>
        <v>0.4154150130018867</v>
      </c>
      <c r="AC61" s="67">
        <f t="shared" si="44"/>
        <v>0.14231483827328517</v>
      </c>
      <c r="AD61" s="67">
        <f t="shared" si="45"/>
        <v>-0.14231483827328492</v>
      </c>
      <c r="AE61" s="67">
        <f t="shared" si="46"/>
        <v>0.10911736528236411</v>
      </c>
      <c r="AF61" s="67">
        <f t="shared" si="47"/>
        <v>0.1884905988667735</v>
      </c>
      <c r="AG61" s="67">
        <f t="shared" si="48"/>
        <v>0.4014098587814209</v>
      </c>
      <c r="AH61" s="67">
        <f t="shared" si="49"/>
        <v>0.6802747844190067</v>
      </c>
      <c r="AI61" s="67">
        <f t="shared" si="50"/>
        <v>0.9365477322550066</v>
      </c>
      <c r="AJ61" s="67">
        <f t="shared" si="51"/>
        <v>1.0888638520896128</v>
      </c>
      <c r="AK61" s="67">
        <f t="shared" si="52"/>
        <v>1.088863852089613</v>
      </c>
      <c r="AL61" s="67">
        <f t="shared" si="53"/>
        <v>0.9365477322550068</v>
      </c>
      <c r="AM61" s="67">
        <f t="shared" si="54"/>
        <v>0.6802747844190067</v>
      </c>
      <c r="AN61" s="67">
        <f t="shared" si="55"/>
        <v>0.4014098587814211</v>
      </c>
      <c r="AO61" s="67">
        <f t="shared" si="56"/>
        <v>0.1884905988667735</v>
      </c>
      <c r="AP61" s="67">
        <f t="shared" si="57"/>
        <v>0.10911736528236411</v>
      </c>
      <c r="AQ61" s="67">
        <f t="shared" si="58"/>
        <v>0.18849059886677336</v>
      </c>
      <c r="AR61" s="61"/>
    </row>
    <row r="62" spans="1:44" s="55" customFormat="1" ht="12">
      <c r="A62" s="70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40"/>
      <c r="Q62" s="67">
        <f t="shared" si="32"/>
        <v>0.3019590490742284</v>
      </c>
      <c r="R62" s="67">
        <f t="shared" si="33"/>
        <v>-0.13052619222005157</v>
      </c>
      <c r="S62" s="67">
        <f t="shared" si="34"/>
        <v>0.13052619222005157</v>
      </c>
      <c r="T62" s="67">
        <f t="shared" si="35"/>
        <v>0.3826834323650898</v>
      </c>
      <c r="U62" s="67">
        <f t="shared" si="36"/>
        <v>0.6087614290087207</v>
      </c>
      <c r="V62" s="67">
        <f t="shared" si="37"/>
        <v>0.7933533402912352</v>
      </c>
      <c r="W62" s="67">
        <f t="shared" si="38"/>
        <v>0.9238795325112867</v>
      </c>
      <c r="X62" s="67">
        <f t="shared" si="39"/>
        <v>0.9914448613738104</v>
      </c>
      <c r="Y62" s="67">
        <f t="shared" si="40"/>
        <v>0.9914448613738104</v>
      </c>
      <c r="Z62" s="67">
        <f t="shared" si="41"/>
        <v>0.9238795325112868</v>
      </c>
      <c r="AA62" s="67">
        <f t="shared" si="42"/>
        <v>0.7933533402912352</v>
      </c>
      <c r="AB62" s="67">
        <f t="shared" si="43"/>
        <v>0.6087614290087209</v>
      </c>
      <c r="AC62" s="67">
        <f t="shared" si="44"/>
        <v>0.3826834323650899</v>
      </c>
      <c r="AD62" s="67">
        <f t="shared" si="45"/>
        <v>0.130526192220052</v>
      </c>
      <c r="AE62" s="67">
        <f t="shared" si="46"/>
        <v>0.09117926731781226</v>
      </c>
      <c r="AF62" s="67">
        <f t="shared" si="47"/>
        <v>0.15816656542559293</v>
      </c>
      <c r="AG62" s="67">
        <f t="shared" si="48"/>
        <v>0.34117926731781223</v>
      </c>
      <c r="AH62" s="67">
        <f t="shared" si="49"/>
        <v>0.5911792673178121</v>
      </c>
      <c r="AI62" s="67">
        <f t="shared" si="50"/>
        <v>0.8411792673178121</v>
      </c>
      <c r="AJ62" s="67">
        <f t="shared" si="51"/>
        <v>1.0241919692100316</v>
      </c>
      <c r="AK62" s="67">
        <f t="shared" si="52"/>
        <v>1.0911792673178122</v>
      </c>
      <c r="AL62" s="67">
        <f t="shared" si="53"/>
        <v>1.0241919692100316</v>
      </c>
      <c r="AM62" s="67">
        <f t="shared" si="54"/>
        <v>0.8411792673178123</v>
      </c>
      <c r="AN62" s="67">
        <f t="shared" si="55"/>
        <v>0.5911792673178123</v>
      </c>
      <c r="AO62" s="67">
        <f t="shared" si="56"/>
        <v>0.34117926731781223</v>
      </c>
      <c r="AP62" s="67">
        <f t="shared" si="57"/>
        <v>0.15816656542559307</v>
      </c>
      <c r="AQ62" s="67">
        <f t="shared" si="58"/>
        <v>0.09117926731781226</v>
      </c>
      <c r="AR62" s="61"/>
    </row>
    <row r="63" spans="1:44" s="55" customFormat="1" ht="12">
      <c r="A63" s="70"/>
      <c r="B63" s="93" t="s">
        <v>75</v>
      </c>
      <c r="C63" s="9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40"/>
      <c r="AR63" s="61"/>
    </row>
    <row r="64" spans="1:44" s="55" customFormat="1" ht="12">
      <c r="A64" s="70"/>
      <c r="B64" s="93" t="s">
        <v>66</v>
      </c>
      <c r="C64" s="85">
        <v>0</v>
      </c>
      <c r="D64" s="85">
        <v>1</v>
      </c>
      <c r="E64" s="85">
        <v>2</v>
      </c>
      <c r="F64" s="85">
        <v>3</v>
      </c>
      <c r="G64" s="85">
        <f>IF(N&gt;3,4,"")</f>
        <v>4</v>
      </c>
      <c r="H64" s="85">
        <f>IF(N&gt;4,5,"")</f>
        <v>5</v>
      </c>
      <c r="I64" s="85">
        <f>IF(N&gt;5,6,"")</f>
        <v>6</v>
      </c>
      <c r="J64" s="85">
        <f>IF(N&gt;6,7,"")</f>
        <v>7</v>
      </c>
      <c r="K64" s="85">
        <f>IF(N&gt;7,8,"")</f>
        <v>8</v>
      </c>
      <c r="L64" s="85">
        <f>IF(N&gt;8,9,"")</f>
        <v>9</v>
      </c>
      <c r="M64" s="85">
        <f>IF(N&gt;9,10,"")</f>
        <v>10</v>
      </c>
      <c r="N64" s="85">
        <f>IF(N&gt;10,11,"")</f>
        <v>11</v>
      </c>
      <c r="O64" s="54">
        <f>IF(N&gt;11,12,"")</f>
        <v>12</v>
      </c>
      <c r="P64" s="123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</row>
    <row r="65" spans="1:44" s="55" customFormat="1" ht="12">
      <c r="A65" s="70"/>
      <c r="B65" s="89"/>
      <c r="C65" s="89">
        <v>28.300063454966615</v>
      </c>
      <c r="D65" s="89">
        <v>18.303197682019622</v>
      </c>
      <c r="E65" s="89">
        <v>15.46737246394497</v>
      </c>
      <c r="F65" s="89">
        <v>14.869253954815699</v>
      </c>
      <c r="G65" s="89">
        <v>14.659453250107155</v>
      </c>
      <c r="H65" s="89">
        <v>14.5754603145356</v>
      </c>
      <c r="I65" s="89">
        <v>14.552226475304952</v>
      </c>
      <c r="J65" s="89">
        <v>14.5754603145356</v>
      </c>
      <c r="K65" s="89">
        <v>14.659453250107157</v>
      </c>
      <c r="L65" s="89">
        <v>14.869253954815699</v>
      </c>
      <c r="M65" s="89">
        <v>15.467372463944967</v>
      </c>
      <c r="N65" s="89">
        <v>18.303197682019615</v>
      </c>
      <c r="O65" s="89">
        <v>28.300063454966615</v>
      </c>
      <c r="P65" s="123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</row>
    <row r="66" spans="1:44" s="55" customFormat="1" ht="12.75" customHeight="1">
      <c r="A66" s="70"/>
      <c r="B66" s="93" t="s">
        <v>45</v>
      </c>
      <c r="C66" s="34">
        <f>C65</f>
        <v>28.300063454966615</v>
      </c>
      <c r="D66" s="34">
        <f>D65</f>
        <v>18.303197682019622</v>
      </c>
      <c r="E66" s="34">
        <f>E65</f>
        <v>15.46737246394497</v>
      </c>
      <c r="F66" s="34">
        <f>F65</f>
        <v>14.869253954815699</v>
      </c>
      <c r="G66" s="34">
        <f>IF(N&gt;3,G65,"")</f>
        <v>14.659453250107155</v>
      </c>
      <c r="H66" s="34">
        <f>IF(N&gt;4,H65,"")</f>
        <v>14.5754603145356</v>
      </c>
      <c r="I66" s="34">
        <f>IF(N&gt;5,I65,"")</f>
        <v>14.552226475304952</v>
      </c>
      <c r="J66" s="34">
        <f>IF(N&gt;6,J65,"")</f>
        <v>14.5754603145356</v>
      </c>
      <c r="K66" s="34">
        <f>IF(N&gt;7,K65,"")</f>
        <v>14.659453250107157</v>
      </c>
      <c r="L66" s="34">
        <f>IF(N&gt;8,L65,"")</f>
        <v>14.869253954815699</v>
      </c>
      <c r="M66" s="34">
        <f>IF(N&gt;9,M65,"")</f>
        <v>15.467372463944967</v>
      </c>
      <c r="N66" s="34">
        <f>IF(N&gt;10,N65,"")</f>
        <v>18.303197682019615</v>
      </c>
      <c r="O66" s="34">
        <f>IF(N&gt;11,O65,"")</f>
        <v>28.300063454966615</v>
      </c>
      <c r="P66" s="45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</row>
    <row r="67" spans="1:44" s="55" customFormat="1" ht="11.25" customHeight="1">
      <c r="A67" s="70"/>
      <c r="B67" s="33" t="s">
        <v>58</v>
      </c>
      <c r="C67" s="104">
        <v>0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5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</row>
    <row r="68" spans="1:44" s="55" customFormat="1" ht="12">
      <c r="A68" s="70"/>
      <c r="B68" s="33" t="s">
        <v>59</v>
      </c>
      <c r="C68" s="104">
        <f>(TAN(PI()*C65/a/2))^2*(1+(0.75*(1/SQRT(1-4*a*a/(9*wo*wo))-1))*(SIN(PI()*C65/a))^2)*a/wg</f>
        <v>0.7005078697733821</v>
      </c>
      <c r="D68" s="104">
        <f aca="true" t="shared" si="63" ref="D68:N68">(TAN(PI()*D65/a/2))^2*(1+(0.75*(1/SQRT(1-4*a*a/(9*wo*wo))-1))*(SIN(PI()*D65/a))^2)*a/wg</f>
        <v>0.21272208288937192</v>
      </c>
      <c r="E68" s="104">
        <f t="shared" si="63"/>
        <v>0.1413776943786139</v>
      </c>
      <c r="F68" s="104">
        <f t="shared" si="63"/>
        <v>0.12883178514988575</v>
      </c>
      <c r="G68" s="104">
        <f t="shared" si="63"/>
        <v>0.12461803522681673</v>
      </c>
      <c r="H68" s="104">
        <f t="shared" si="63"/>
        <v>0.12295765630041473</v>
      </c>
      <c r="I68" s="104">
        <f t="shared" si="63"/>
        <v>0.1225010290582388</v>
      </c>
      <c r="J68" s="104">
        <f t="shared" si="63"/>
        <v>0.12295765630041473</v>
      </c>
      <c r="K68" s="104">
        <f t="shared" si="63"/>
        <v>0.12461803522681678</v>
      </c>
      <c r="L68" s="104">
        <f t="shared" si="63"/>
        <v>0.12883178514988575</v>
      </c>
      <c r="M68" s="104">
        <f t="shared" si="63"/>
        <v>0.14137769437861383</v>
      </c>
      <c r="N68" s="104">
        <f t="shared" si="63"/>
        <v>0.2127220828893718</v>
      </c>
      <c r="O68" s="104">
        <f>(TAN(PI()*O65/a/2))^2*(1+(0.75*(1/SQRT(1-4*a*a/(9*wo*wo))-1))*(SIN(PI()*O65/a))^2)*a/wg</f>
        <v>0.7005078697733821</v>
      </c>
      <c r="P68" s="105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</row>
    <row r="69" spans="1:44" s="55" customFormat="1" ht="12">
      <c r="A69" s="70"/>
      <c r="B69" s="33" t="s">
        <v>63</v>
      </c>
      <c r="C69" s="35">
        <f>-TAN((-ATAN(2*C68+C67)-ATAN(C67))/2+ATAN(C67))</f>
        <v>0.514834827021706</v>
      </c>
      <c r="D69" s="35">
        <f>-TAN((-ATAN(2*D68+D67)-ATAN(D67))/2+ATAN(D67))</f>
        <v>0.20387986427090563</v>
      </c>
      <c r="E69" s="35">
        <f>-TAN((-ATAN(2*E68+E67)-ATAN(E67))/2+ATAN(E67))</f>
        <v>0.13865950214137535</v>
      </c>
      <c r="F69" s="35">
        <f aca="true" t="shared" si="64" ref="F69:O69">-TAN((-ATAN(2*F68+F67)-ATAN(F67))/2+ATAN(F67))</f>
        <v>0.1267616495743021</v>
      </c>
      <c r="G69" s="35">
        <f t="shared" si="64"/>
        <v>0.12274063178993971</v>
      </c>
      <c r="H69" s="35">
        <f t="shared" si="64"/>
        <v>0.12115288128300108</v>
      </c>
      <c r="I69" s="35">
        <f t="shared" si="64"/>
        <v>0.12071590370992155</v>
      </c>
      <c r="J69" s="35">
        <f t="shared" si="64"/>
        <v>0.12115288128300108</v>
      </c>
      <c r="K69" s="35">
        <f t="shared" si="64"/>
        <v>0.12274063178993976</v>
      </c>
      <c r="L69" s="35">
        <f t="shared" si="64"/>
        <v>0.1267616495743021</v>
      </c>
      <c r="M69" s="35">
        <f t="shared" si="64"/>
        <v>0.1386595021413753</v>
      </c>
      <c r="N69" s="35">
        <f t="shared" si="64"/>
        <v>0.20387986427090551</v>
      </c>
      <c r="O69" s="35">
        <f t="shared" si="64"/>
        <v>0.514834827021706</v>
      </c>
      <c r="P69" s="36"/>
      <c r="Q69" s="106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</row>
    <row r="70" spans="1:44" s="55" customFormat="1" ht="12">
      <c r="A70" s="70"/>
      <c r="B70" s="33" t="s">
        <v>61</v>
      </c>
      <c r="C70" s="37">
        <f>1000*(C69-C48)</f>
        <v>9.363295272457606E-05</v>
      </c>
      <c r="D70" s="37">
        <f aca="true" t="shared" si="65" ref="D70:O70">100*(D69-D48)</f>
        <v>1.6938620006623495E-05</v>
      </c>
      <c r="E70" s="37">
        <f t="shared" si="65"/>
        <v>0.0005241450576815021</v>
      </c>
      <c r="F70" s="37">
        <f t="shared" si="65"/>
        <v>-3.5531166869828823E-06</v>
      </c>
      <c r="G70" s="37">
        <f t="shared" si="65"/>
        <v>-6.3003216949075735E-06</v>
      </c>
      <c r="H70" s="37">
        <f t="shared" si="65"/>
        <v>-7.742874917615605E-06</v>
      </c>
      <c r="I70" s="37">
        <f t="shared" si="65"/>
        <v>-8.180251626077606E-06</v>
      </c>
      <c r="J70" s="37">
        <f t="shared" si="65"/>
        <v>-7.742874917615605E-06</v>
      </c>
      <c r="K70" s="37">
        <f t="shared" si="65"/>
        <v>-6.3003216949075735E-06</v>
      </c>
      <c r="L70" s="37">
        <f t="shared" si="65"/>
        <v>-3.5531166869828823E-06</v>
      </c>
      <c r="M70" s="37">
        <f t="shared" si="65"/>
        <v>0.0005241450576870532</v>
      </c>
      <c r="N70" s="37">
        <f t="shared" si="65"/>
        <v>1.6938620017725725E-05</v>
      </c>
      <c r="O70" s="37">
        <f t="shared" si="65"/>
        <v>9.363295272457606E-06</v>
      </c>
      <c r="P70" s="38"/>
      <c r="Q70" s="106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</row>
    <row r="71" spans="1:44" s="55" customFormat="1" ht="12">
      <c r="A71" s="70"/>
      <c r="B71" s="58" t="s">
        <v>60</v>
      </c>
      <c r="C71" s="104">
        <f>-ATAN(2*C68+C67)-ATAN(C67)</f>
        <v>-0.9508898312723347</v>
      </c>
      <c r="D71" s="104">
        <f>-ATAN(2*D68+D67)-ATAN(D67)</f>
        <v>-0.40224679969147903</v>
      </c>
      <c r="E71" s="104">
        <f>-ATAN(2*E68+E67)-ATAN(E67)</f>
        <v>-0.2755619420734121</v>
      </c>
      <c r="F71" s="104">
        <f aca="true" t="shared" si="66" ref="F71:O71">-ATAN(2*F68+F67)-ATAN(F67)</f>
        <v>-0.252178328162494</v>
      </c>
      <c r="G71" s="104">
        <f t="shared" si="66"/>
        <v>-0.2442595414758048</v>
      </c>
      <c r="H71" s="104">
        <f t="shared" si="66"/>
        <v>-0.24113057202125343</v>
      </c>
      <c r="I71" s="104">
        <f t="shared" si="66"/>
        <v>-0.2402692143535416</v>
      </c>
      <c r="J71" s="104">
        <f t="shared" si="66"/>
        <v>-0.24113057202125343</v>
      </c>
      <c r="K71" s="104">
        <f t="shared" si="66"/>
        <v>-0.2442595414758049</v>
      </c>
      <c r="L71" s="104">
        <f t="shared" si="66"/>
        <v>-0.252178328162494</v>
      </c>
      <c r="M71" s="104">
        <f t="shared" si="66"/>
        <v>-0.275561942073412</v>
      </c>
      <c r="N71" s="104">
        <f t="shared" si="66"/>
        <v>-0.40224679969147886</v>
      </c>
      <c r="O71" s="104">
        <f t="shared" si="66"/>
        <v>-0.9508898312723347</v>
      </c>
      <c r="P71" s="105"/>
      <c r="Q71" s="106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</row>
    <row r="72" spans="1:44" s="55" customFormat="1" ht="12">
      <c r="A72" s="70"/>
      <c r="B72" s="34" t="s">
        <v>44</v>
      </c>
      <c r="C72" s="99">
        <f>wg/2+(C71+D71)*wg/(4*PI())</f>
        <v>34.4138811309266</v>
      </c>
      <c r="D72" s="99">
        <f>wg/2+(D71+E71)*wg/(4*PI())</f>
        <v>39.1279631267925</v>
      </c>
      <c r="E72" s="99">
        <f>wg/2+(E71+F71)*wg/(4*PI())</f>
        <v>40.175506240436256</v>
      </c>
      <c r="F72" s="99">
        <f>IF(N&gt;3,wg/2+(F71+G71)*wg/(4*PI()),"")</f>
        <v>40.394010592832544</v>
      </c>
      <c r="G72" s="99">
        <f>IF(N&gt;4,wg/2+(G71+H71)*wg/(4*PI()),"")</f>
        <v>40.471128729300915</v>
      </c>
      <c r="H72" s="99">
        <f>IF(N&gt;5,wg/2+(H71+I71)*wg/(4*PI()),"")</f>
        <v>40.49898294581637</v>
      </c>
      <c r="I72" s="99">
        <f>IF(N&gt;6,wg/2+(I71+J71)*wg/(4*PI()),"")</f>
        <v>40.49898294581637</v>
      </c>
      <c r="J72" s="99">
        <f>IF(N&gt;7,wg/2+(J71+K71)*wg/(4*PI()),"")</f>
        <v>40.471128729300915</v>
      </c>
      <c r="K72" s="99">
        <f>IF(N&gt;8,wg/2+(K71+L71)*wg/(4*PI()),"")</f>
        <v>40.394010592832544</v>
      </c>
      <c r="L72" s="99">
        <f>IF(N&gt;9,wg/2+(L71+M71)*wg/(4*PI()),"")</f>
        <v>40.175506240436256</v>
      </c>
      <c r="M72" s="99">
        <f>IF(N&gt;10,wg/2+(M71+N71)*wg/(4*PI()),"")</f>
        <v>39.1279631267925</v>
      </c>
      <c r="N72" s="99">
        <f>IF(N&gt;11,wg/2+(N71+O71)*wg/(4*PI()),"")</f>
        <v>34.4138811309266</v>
      </c>
      <c r="O72" s="99"/>
      <c r="P72" s="107"/>
      <c r="Q72" s="106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</row>
    <row r="73" spans="1:44" s="55" customFormat="1" ht="12">
      <c r="A73" s="70"/>
      <c r="B73" s="58"/>
      <c r="C73" s="108"/>
      <c r="D73" s="103"/>
      <c r="E73" s="103"/>
      <c r="F73" s="103"/>
      <c r="G73" s="103"/>
      <c r="H73" s="41"/>
      <c r="I73" s="41"/>
      <c r="J73" s="58"/>
      <c r="K73" s="33"/>
      <c r="L73" s="33"/>
      <c r="M73" s="33"/>
      <c r="N73" s="33"/>
      <c r="O73" s="33"/>
      <c r="P73" s="40"/>
      <c r="Q73" s="106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</row>
    <row r="74" spans="1:44" s="55" customFormat="1" ht="12">
      <c r="A74" s="70"/>
      <c r="B74" s="93"/>
      <c r="C74" s="93"/>
      <c r="D74" s="33"/>
      <c r="E74" s="33"/>
      <c r="F74" s="103"/>
      <c r="G74" s="103"/>
      <c r="H74" s="41"/>
      <c r="I74" s="41"/>
      <c r="J74" s="58"/>
      <c r="K74" s="33"/>
      <c r="L74" s="33"/>
      <c r="M74" s="33"/>
      <c r="N74" s="33"/>
      <c r="O74" s="33"/>
      <c r="P74" s="40"/>
      <c r="Q74" s="106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</row>
    <row r="75" spans="1:17" ht="66" hidden="1">
      <c r="A75" s="13"/>
      <c r="B75" s="16"/>
      <c r="C75" s="43"/>
      <c r="D75" s="43"/>
      <c r="E75" s="43"/>
      <c r="F75" s="43"/>
      <c r="G75" s="43"/>
      <c r="H75" s="43"/>
      <c r="I75" s="44"/>
      <c r="J75" s="16"/>
      <c r="K75" s="16"/>
      <c r="L75" s="16"/>
      <c r="M75" s="16"/>
      <c r="N75" s="16"/>
      <c r="O75" s="33"/>
      <c r="P75" s="40"/>
      <c r="Q75" s="6"/>
    </row>
    <row r="76" spans="1:17" ht="12.75">
      <c r="A76" s="13"/>
      <c r="B76" s="43"/>
      <c r="C76" s="43"/>
      <c r="D76" s="43"/>
      <c r="E76" s="43"/>
      <c r="F76" s="43"/>
      <c r="G76" s="43"/>
      <c r="H76" s="43"/>
      <c r="I76" s="44"/>
      <c r="J76" s="16"/>
      <c r="K76" s="16"/>
      <c r="L76" s="16"/>
      <c r="M76" s="16"/>
      <c r="N76" s="16"/>
      <c r="O76" s="33"/>
      <c r="P76" s="40"/>
      <c r="Q76" s="6"/>
    </row>
    <row r="77" spans="1:17" ht="12.75">
      <c r="A77" s="13"/>
      <c r="B77" s="43"/>
      <c r="C77" s="43"/>
      <c r="D77" s="43"/>
      <c r="E77" s="43"/>
      <c r="F77" s="43"/>
      <c r="G77" s="43"/>
      <c r="H77" s="43"/>
      <c r="I77" s="44"/>
      <c r="J77" s="16"/>
      <c r="K77" s="16"/>
      <c r="L77" s="16"/>
      <c r="M77" s="16"/>
      <c r="N77" s="16"/>
      <c r="O77" s="33"/>
      <c r="P77" s="40"/>
      <c r="Q77" s="6"/>
    </row>
    <row r="78" spans="1:17" ht="12.75">
      <c r="A78" s="13"/>
      <c r="B78" s="43"/>
      <c r="C78" s="43"/>
      <c r="D78" s="43"/>
      <c r="E78" s="43"/>
      <c r="F78" s="46" t="s">
        <v>39</v>
      </c>
      <c r="G78" s="47"/>
      <c r="H78" s="47" t="s">
        <v>47</v>
      </c>
      <c r="I78" s="44"/>
      <c r="J78" s="16"/>
      <c r="K78" s="16"/>
      <c r="L78" s="16"/>
      <c r="M78" s="16"/>
      <c r="N78" s="16"/>
      <c r="O78" s="33"/>
      <c r="P78" s="40"/>
      <c r="Q78" s="6"/>
    </row>
    <row r="79" spans="1:17" ht="13.5" thickBot="1">
      <c r="A79" s="48"/>
      <c r="B79" s="49"/>
      <c r="C79" s="50"/>
      <c r="D79" s="50"/>
      <c r="E79" s="50"/>
      <c r="F79" s="50"/>
      <c r="G79" s="50"/>
      <c r="H79" s="50"/>
      <c r="I79" s="51"/>
      <c r="J79" s="49"/>
      <c r="K79" s="49"/>
      <c r="L79" s="49"/>
      <c r="M79" s="49"/>
      <c r="N79" s="49"/>
      <c r="O79" s="125"/>
      <c r="P79" s="111"/>
      <c r="Q79" s="6"/>
    </row>
    <row r="80" spans="3:17" ht="13.5" thickTop="1">
      <c r="C80" s="5"/>
      <c r="D80" s="5"/>
      <c r="E80" s="5"/>
      <c r="F80" s="5"/>
      <c r="G80" s="5"/>
      <c r="H80" s="5"/>
      <c r="I80" s="6"/>
      <c r="Q80" s="6"/>
    </row>
    <row r="81" spans="3:17" ht="12.75">
      <c r="C81" s="5"/>
      <c r="D81" s="5"/>
      <c r="E81" s="5"/>
      <c r="F81" s="6"/>
      <c r="H81" s="5"/>
      <c r="I81" s="6"/>
      <c r="Q81" s="6"/>
    </row>
    <row r="82" spans="4:17" ht="12.75">
      <c r="D82" s="5"/>
      <c r="E82" s="5"/>
      <c r="F82" s="5"/>
      <c r="G82" s="5"/>
      <c r="H82" s="5"/>
      <c r="I82" s="6"/>
      <c r="Q82" s="6"/>
    </row>
    <row r="83" spans="4:9" ht="12.75">
      <c r="D83" s="6"/>
      <c r="E83" s="6"/>
      <c r="F83" s="6"/>
      <c r="G83" s="6"/>
      <c r="H83" s="6"/>
      <c r="I83" s="6"/>
    </row>
    <row r="84" spans="4:11" ht="12.75">
      <c r="D84" s="6"/>
      <c r="E84" s="6"/>
      <c r="F84" s="5"/>
      <c r="H84" s="5"/>
      <c r="I84" s="5"/>
      <c r="J84" s="5"/>
      <c r="K84" s="6"/>
    </row>
    <row r="85" spans="4:11" ht="12.75">
      <c r="D85" s="6"/>
      <c r="E85" s="6"/>
      <c r="F85" s="5"/>
      <c r="G85" s="5"/>
      <c r="H85" s="6"/>
      <c r="I85" s="5"/>
      <c r="J85" s="5"/>
      <c r="K85" s="6"/>
    </row>
    <row r="86" spans="4:11" ht="12.75">
      <c r="D86" s="6"/>
      <c r="F86" s="5"/>
      <c r="G86" s="5"/>
      <c r="H86" s="6"/>
      <c r="I86" s="5"/>
      <c r="J86" s="5"/>
      <c r="K86" s="6"/>
    </row>
    <row r="87" spans="4:11" ht="12.75">
      <c r="D87" s="6"/>
      <c r="E87" s="6"/>
      <c r="F87" s="5"/>
      <c r="G87" s="6"/>
      <c r="H87" s="6"/>
      <c r="I87" s="5"/>
      <c r="J87" s="5"/>
      <c r="K87" s="6"/>
    </row>
    <row r="88" spans="4:11" ht="12.75">
      <c r="D88" s="6"/>
      <c r="F88" s="5"/>
      <c r="G88" s="5"/>
      <c r="H88" s="6"/>
      <c r="I88" s="5"/>
      <c r="J88" s="5"/>
      <c r="K88" s="6"/>
    </row>
    <row r="89" spans="4:11" ht="12.75">
      <c r="D89" s="6"/>
      <c r="E89" s="6"/>
      <c r="F89" s="5"/>
      <c r="G89" s="5"/>
      <c r="H89" s="6"/>
      <c r="I89" s="5"/>
      <c r="J89" s="5"/>
      <c r="K89" s="6"/>
    </row>
    <row r="90" spans="9:11" ht="12.75">
      <c r="I90" s="5"/>
      <c r="J90" s="5"/>
      <c r="K90" s="6"/>
    </row>
    <row r="91" spans="5:11" ht="12.75">
      <c r="E91" s="5"/>
      <c r="I91" s="5"/>
      <c r="J91" s="5"/>
      <c r="K91" s="6"/>
    </row>
    <row r="92" spans="5:11" ht="12.75">
      <c r="E92" s="5"/>
      <c r="I92" s="5"/>
      <c r="J92" s="5"/>
      <c r="K92" s="6"/>
    </row>
    <row r="93" spans="5:11" ht="12.75">
      <c r="E93" s="6"/>
      <c r="I93" s="5"/>
      <c r="J93" s="5"/>
      <c r="K93" s="6"/>
    </row>
    <row r="94" spans="3:11" ht="12.75">
      <c r="C94" s="5"/>
      <c r="E94" s="5"/>
      <c r="I94" s="5"/>
      <c r="J94" s="5"/>
      <c r="K94" s="6"/>
    </row>
    <row r="95" spans="9:11" ht="12.75">
      <c r="I95" s="5"/>
      <c r="J95" s="5"/>
      <c r="K95" s="6"/>
    </row>
    <row r="96" spans="9:11" ht="12.75">
      <c r="I96" s="5"/>
      <c r="J96" s="5"/>
      <c r="K96" s="6"/>
    </row>
    <row r="97" spans="9:11" ht="12.75">
      <c r="I97" s="5"/>
      <c r="J97" s="5"/>
      <c r="K97" s="6"/>
    </row>
    <row r="98" spans="9:11" ht="12.75">
      <c r="I98" s="5"/>
      <c r="J98" s="5"/>
      <c r="K98" s="6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D12"/>
  <sheetViews>
    <sheetView zoomScalePageLayoutView="0" workbookViewId="0" topLeftCell="A1">
      <selection activeCell="D20" sqref="D20"/>
    </sheetView>
  </sheetViews>
  <sheetFormatPr defaultColWidth="9.140625" defaultRowHeight="12.75"/>
  <sheetData>
    <row r="2" ht="12.75">
      <c r="B2" s="117" t="s">
        <v>51</v>
      </c>
    </row>
    <row r="3" ht="12.75">
      <c r="B3" s="118"/>
    </row>
    <row r="4" ht="12.75">
      <c r="B4" s="119" t="s">
        <v>52</v>
      </c>
    </row>
    <row r="5" ht="12.75">
      <c r="B5" s="110">
        <v>68.9237492168048</v>
      </c>
    </row>
    <row r="6" ht="12.75">
      <c r="B6" s="119" t="s">
        <v>8</v>
      </c>
    </row>
    <row r="7" ht="12.75">
      <c r="B7" s="118" t="s">
        <v>53</v>
      </c>
    </row>
    <row r="8" spans="2:4" ht="12.75">
      <c r="B8" s="110">
        <v>4</v>
      </c>
      <c r="D8" s="122"/>
    </row>
    <row r="9" ht="12.75">
      <c r="B9" s="119" t="s">
        <v>40</v>
      </c>
    </row>
    <row r="10" ht="12.75">
      <c r="B10" s="119" t="s">
        <v>54</v>
      </c>
    </row>
    <row r="11" ht="12.75">
      <c r="B11" s="120" t="e">
        <f>ACOSH(((10^(REJ/10)-1)/(10^(RIP/10)-1))^0.5)/ACOSH(ABS((1/w-w/wg^2)/(1/wg1-1/wg2)))</f>
        <v>#NUM!</v>
      </c>
    </row>
    <row r="12" ht="12.75">
      <c r="B12" s="121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Martin</dc:creator>
  <cp:keywords/>
  <dc:description/>
  <cp:lastModifiedBy>Windows User</cp:lastModifiedBy>
  <cp:lastPrinted>2001-05-20T09:55:17Z</cp:lastPrinted>
  <dcterms:created xsi:type="dcterms:W3CDTF">2000-05-03T08:30:49Z</dcterms:created>
  <dcterms:modified xsi:type="dcterms:W3CDTF">2020-09-26T09:39:17Z</dcterms:modified>
  <cp:category/>
  <cp:version/>
  <cp:contentType/>
  <cp:contentStatus/>
</cp:coreProperties>
</file>